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10" windowHeight="5355" tabRatio="599" activeTab="0"/>
  </bookViews>
  <sheets>
    <sheet name="SAMP" sheetId="1" r:id="rId1"/>
    <sheet name="PROBIT" sheetId="2" r:id="rId2"/>
    <sheet name="PERCENT" sheetId="3" r:id="rId3"/>
  </sheets>
  <definedNames>
    <definedName name="\0">'SAMP'!#REF!</definedName>
    <definedName name="\c">'SAMP'!#REF!</definedName>
    <definedName name="__123Graph_A" hidden="1">'SAMP'!$AP$65:$AP$165</definedName>
    <definedName name="__123Graph_APERCENT" hidden="1">'SAMP'!$AP$65:$AP$165</definedName>
    <definedName name="__123Graph_APERCENTN" hidden="1">'SAMP'!$AP$65:$AP$165</definedName>
    <definedName name="__123Graph_APROBIT" hidden="1">'SAMP'!$AM$65:$AM$164</definedName>
    <definedName name="__123Graph_APROBITN" hidden="1">'SAMP'!$AM$65:$AM$164</definedName>
    <definedName name="__123Graph_B" hidden="1">'SAMP'!$W$10:$W$10</definedName>
    <definedName name="__123Graph_BPERCENT" hidden="1">'SAMP'!$W$10:$W$10</definedName>
    <definedName name="__123Graph_BPERCENTN" hidden="1">'SAMP'!$AT$65:$AT$165</definedName>
    <definedName name="__123Graph_BPROBIT" hidden="1">'SAMP'!$W$9:$W$9</definedName>
    <definedName name="__123Graph_BPROBITN" hidden="1">'SAMP'!$BB$65:$BB$165</definedName>
    <definedName name="__123Graph_C" hidden="1">'SAMP'!$F$10:$F$10</definedName>
    <definedName name="__123Graph_CPERCENT" hidden="1">'SAMP'!$F$10:$F$10</definedName>
    <definedName name="__123Graph_CPERCENTN" hidden="1">'SAMP'!$F$10:$F$10</definedName>
    <definedName name="__123Graph_CPROBIT" hidden="1">'SAMP'!$F$11:$F$11</definedName>
    <definedName name="__123Graph_CPROBITN" hidden="1">'SAMP'!$F$11:$F$11</definedName>
    <definedName name="__123Graph_E" hidden="1">'SAMP'!$AT$65:$AT$165</definedName>
    <definedName name="__123Graph_EPERCENT" hidden="1">'SAMP'!$AT$65:$AT$165</definedName>
    <definedName name="__123Graph_EPROBIT" hidden="1">'SAMP'!$BB$65:$BB$165</definedName>
    <definedName name="__123Graph_F" hidden="1">'SAMP'!$X$10:$X$10</definedName>
    <definedName name="__123Graph_FPERCENT" hidden="1">'SAMP'!$X$10:$X$10</definedName>
    <definedName name="__123Graph_FPROBIT" hidden="1">'SAMP'!$X$9:$X$9</definedName>
    <definedName name="__123Graph_LBL_C" hidden="1">'SAMP'!$E$11:$E$11</definedName>
    <definedName name="__123Graph_LBL_CPERCENT" hidden="1">'SAMP'!$E$11:$E$11</definedName>
    <definedName name="__123Graph_LBL_CPERCENTN" hidden="1">'SAMP'!$E$11:$E$11</definedName>
    <definedName name="__123Graph_LBL_CPROBIT" hidden="1">'SAMP'!$E$11:$E$11</definedName>
    <definedName name="__123Graph_LBL_CPROBITN" hidden="1">'SAMP'!$E$11:$E$11</definedName>
    <definedName name="__123Graph_X" hidden="1">'SAMP'!$AR$65:$AR$165</definedName>
    <definedName name="__123Graph_XPERCENT" hidden="1">'SAMP'!$AR$65:$AR$165</definedName>
    <definedName name="__123Graph_XPERCENTN" hidden="1">'SAMP'!$AR$65:$AR$165</definedName>
    <definedName name="__123Graph_XPROBIT" hidden="1">'SAMP'!$AR$65:$AR$165</definedName>
    <definedName name="__123Graph_XPROBITN" hidden="1">'SAMP'!$AR$65:$AR$165</definedName>
    <definedName name="_Regression_Int" localSheetId="0" hidden="1">1</definedName>
    <definedName name="COPYRIGHT">'SAMP'!$BS$97</definedName>
    <definedName name="KI_CALCULATION">'SAMP'!$A$3:$AM$43</definedName>
    <definedName name="KI_EST">'SAMP'!$E$12:$G$18</definedName>
    <definedName name="KI1">'SAMP'!#REF!</definedName>
    <definedName name="PLOTGRAPH">'SAMP'!#REF!</definedName>
    <definedName name="_xlnm.Print_Area" localSheetId="0">'SAMP'!$A$3:$H$40</definedName>
    <definedName name="Print_Area_MI" localSheetId="0">'SAMP'!$A$3:$H$40</definedName>
    <definedName name="Print_Titles_MI" localSheetId="0">'SAMP'!#REF!</definedName>
    <definedName name="TOPMENU">'SAMP'!#REF!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<sst xmlns="http://schemas.openxmlformats.org/spreadsheetml/2006/main" count="132" uniqueCount="96">
  <si>
    <t>KI_Estimate</t>
  </si>
  <si>
    <t>Parameter</t>
  </si>
  <si>
    <t>Storage</t>
  </si>
  <si>
    <t xml:space="preserve"> </t>
  </si>
  <si>
    <t>t(.025)=</t>
  </si>
  <si>
    <t>-</t>
  </si>
  <si>
    <t>days</t>
  </si>
  <si>
    <t>viabi</t>
  </si>
  <si>
    <t>count</t>
  </si>
  <si>
    <t>Limit</t>
  </si>
  <si>
    <t>T</t>
  </si>
  <si>
    <t>Z1</t>
  </si>
  <si>
    <t>Z2</t>
  </si>
  <si>
    <t>TT</t>
  </si>
  <si>
    <t>T-TT</t>
  </si>
  <si>
    <t>Probit</t>
  </si>
  <si>
    <t>X</t>
  </si>
  <si>
    <t>X2</t>
  </si>
  <si>
    <t>XY</t>
  </si>
  <si>
    <t>Y-YM</t>
  </si>
  <si>
    <t>(X-X/t)^2</t>
  </si>
  <si>
    <t>Y(mean)</t>
  </si>
  <si>
    <t>Y(exp)</t>
  </si>
  <si>
    <t>(O-E)^2/E</t>
  </si>
  <si>
    <t xml:space="preserve"> initial</t>
  </si>
  <si>
    <t xml:space="preserve">      CHI AQUARE =</t>
  </si>
  <si>
    <t>SX</t>
  </si>
  <si>
    <t>SX2</t>
  </si>
  <si>
    <t>SY</t>
  </si>
  <si>
    <t>SXY</t>
  </si>
  <si>
    <t>SSXX</t>
  </si>
  <si>
    <t>SSXY</t>
  </si>
  <si>
    <t>a</t>
  </si>
  <si>
    <t>b</t>
  </si>
  <si>
    <t>P</t>
  </si>
  <si>
    <t>Ki(%)</t>
  </si>
  <si>
    <t xml:space="preserve"> mean(X)</t>
  </si>
  <si>
    <t>SUM</t>
  </si>
  <si>
    <t>SV</t>
  </si>
  <si>
    <t>SS</t>
  </si>
  <si>
    <t>DF</t>
  </si>
  <si>
    <t>SST</t>
  </si>
  <si>
    <t>SSReg</t>
  </si>
  <si>
    <t>SSRes</t>
  </si>
  <si>
    <t>DFReg</t>
  </si>
  <si>
    <t>DFRes</t>
  </si>
  <si>
    <t>DFT</t>
  </si>
  <si>
    <t>F</t>
  </si>
  <si>
    <t xml:space="preserve">Estimate Ki Transform </t>
  </si>
  <si>
    <t>+/-</t>
  </si>
  <si>
    <t>CI(slope)   =</t>
  </si>
  <si>
    <t>CI(Ki)      =</t>
  </si>
  <si>
    <t xml:space="preserve">     </t>
  </si>
  <si>
    <t>Viab-%</t>
  </si>
  <si>
    <t>day no.</t>
  </si>
  <si>
    <t>interval</t>
  </si>
  <si>
    <t>D-rang</t>
  </si>
  <si>
    <t>e-probit</t>
  </si>
  <si>
    <t>e-%</t>
  </si>
  <si>
    <t>a-%</t>
  </si>
  <si>
    <t>Day Range ( Days )</t>
  </si>
  <si>
    <t xml:space="preserve"> Seed Analysis Macro-Program Function Description</t>
  </si>
  <si>
    <t xml:space="preserve"> ************************************************</t>
  </si>
  <si>
    <t>This procedure takes a few minitues to complete</t>
  </si>
  <si>
    <t>Estimate initial viability, half-viability period and</t>
  </si>
  <si>
    <t>the slope of the survival curve.</t>
  </si>
  <si>
    <t>Please be patient !</t>
  </si>
  <si>
    <t>Estimate one of the five parameters (Ki, v, mc, t, p) from</t>
  </si>
  <si>
    <t>the other four parameters in the improved viability equation.</t>
  </si>
  <si>
    <t xml:space="preserve">Estimate the seed lot storage response under different </t>
  </si>
  <si>
    <t>environmental setting.</t>
  </si>
  <si>
    <t xml:space="preserve">Moisture </t>
  </si>
  <si>
    <t>Provide several tables for seed moisture content calculation.</t>
  </si>
  <si>
    <t xml:space="preserve"> </t>
  </si>
  <si>
    <t xml:space="preserve"> </t>
  </si>
  <si>
    <t>↘</t>
  </si>
  <si>
    <t>MRes:</t>
  </si>
  <si>
    <t xml:space="preserve">   F:</t>
  </si>
  <si>
    <t>ANOVA</t>
  </si>
  <si>
    <t xml:space="preserve"> Probit</t>
  </si>
  <si>
    <t>germination</t>
  </si>
  <si>
    <t>germination</t>
  </si>
  <si>
    <t xml:space="preserve"> %</t>
  </si>
  <si>
    <t xml:space="preserve">storage </t>
  </si>
  <si>
    <t xml:space="preserve">% </t>
  </si>
  <si>
    <t>Y =</t>
  </si>
  <si>
    <t>X</t>
  </si>
  <si>
    <t>CHI SQUARE=</t>
  </si>
  <si>
    <r>
      <t xml:space="preserve">slope </t>
    </r>
    <r>
      <rPr>
        <sz val="11"/>
        <color indexed="8"/>
        <rFont val="Courier"/>
        <family val="3"/>
      </rPr>
      <t>=</t>
    </r>
  </si>
  <si>
    <t>initial viability</t>
  </si>
  <si>
    <t>Ki(%) =</t>
  </si>
  <si>
    <t>Ki(probit) =</t>
  </si>
  <si>
    <t>storage</t>
  </si>
  <si>
    <t>prediction</t>
  </si>
  <si>
    <t>days</t>
  </si>
  <si>
    <t>SAMP: Created by Warren H.J. KUO and Y.W. WANG, National Taiwan University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</si>
</sst>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"/>
    <numFmt numFmtId="178" formatCode="0.000"/>
    <numFmt numFmtId="179" formatCode="0_);[Red]\(0\)"/>
    <numFmt numFmtId="180" formatCode="0.0000_);[Red]\(0.0000\)"/>
    <numFmt numFmtId="181" formatCode="0.0000_ "/>
    <numFmt numFmtId="182" formatCode="0.00_ "/>
    <numFmt numFmtId="183" formatCode="0.000_ "/>
    <numFmt numFmtId="184" formatCode="0.000_);[Red]\(0.000\)"/>
  </numFmts>
  <fonts count="26">
    <font>
      <sz val="12"/>
      <name val="Courier"/>
      <family val="3"/>
    </font>
    <font>
      <sz val="12"/>
      <name val="新細明體"/>
      <family val="0"/>
    </font>
    <font>
      <sz val="12"/>
      <color indexed="12"/>
      <name val="Courier"/>
      <family val="3"/>
    </font>
    <font>
      <sz val="9"/>
      <name val="新細明體"/>
      <family val="0"/>
    </font>
    <font>
      <sz val="12"/>
      <name val="Times New Roman"/>
      <family val="1"/>
    </font>
    <font>
      <sz val="12"/>
      <name val="標楷體"/>
      <family val="3"/>
    </font>
    <font>
      <sz val="12"/>
      <color indexed="61"/>
      <name val="Courier"/>
      <family val="3"/>
    </font>
    <font>
      <sz val="12"/>
      <color indexed="29"/>
      <name val="Courier"/>
      <family val="3"/>
    </font>
    <font>
      <sz val="9"/>
      <name val="Arial Narrow"/>
      <family val="2"/>
    </font>
    <font>
      <sz val="12"/>
      <color indexed="12"/>
      <name val="Times New Roman"/>
      <family val="1"/>
    </font>
    <font>
      <sz val="11.75"/>
      <name val="Times New Roman"/>
      <family val="1"/>
    </font>
    <font>
      <sz val="11"/>
      <color indexed="19"/>
      <name val="Times New Roman"/>
      <family val="1"/>
    </font>
    <font>
      <sz val="11"/>
      <name val="Courier"/>
      <family val="3"/>
    </font>
    <font>
      <sz val="11"/>
      <name val="Times New Roman"/>
      <family val="1"/>
    </font>
    <font>
      <sz val="11"/>
      <color indexed="29"/>
      <name val="Courier"/>
      <family val="3"/>
    </font>
    <font>
      <sz val="11"/>
      <name val="標楷體"/>
      <family val="3"/>
    </font>
    <font>
      <sz val="11"/>
      <color indexed="8"/>
      <name val="Courier"/>
      <family val="3"/>
    </font>
    <font>
      <sz val="11"/>
      <color indexed="12"/>
      <name val="Courier"/>
      <family val="3"/>
    </font>
    <font>
      <sz val="11"/>
      <color indexed="20"/>
      <name val="Courier"/>
      <family val="3"/>
    </font>
    <font>
      <sz val="11"/>
      <color indexed="10"/>
      <name val="Courier"/>
      <family val="3"/>
    </font>
    <font>
      <sz val="11"/>
      <color indexed="8"/>
      <name val="新細明體"/>
      <family val="0"/>
    </font>
    <font>
      <sz val="11"/>
      <color indexed="8"/>
      <name val="Times New Roman"/>
      <family val="1"/>
    </font>
    <font>
      <sz val="11"/>
      <color indexed="20"/>
      <name val="Times New Roman"/>
      <family val="1"/>
    </font>
    <font>
      <sz val="11"/>
      <color indexed="22"/>
      <name val="Courier"/>
      <family val="3"/>
    </font>
    <font>
      <sz val="11"/>
      <color indexed="20"/>
      <name val="新細明體"/>
      <family val="0"/>
    </font>
    <font>
      <sz val="11"/>
      <color indexed="3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fill"/>
      <protection/>
    </xf>
    <xf numFmtId="177" fontId="0" fillId="2" borderId="0" xfId="0" applyNumberFormat="1" applyFill="1" applyAlignment="1" applyProtection="1">
      <alignment/>
      <protection/>
    </xf>
    <xf numFmtId="0" fontId="2" fillId="2" borderId="0" xfId="0" applyFont="1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/>
    </xf>
    <xf numFmtId="176" fontId="0" fillId="2" borderId="0" xfId="0" applyNumberFormat="1" applyFill="1" applyAlignment="1" applyProtection="1">
      <alignment/>
      <protection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 quotePrefix="1">
      <alignment horizontal="left"/>
      <protection/>
    </xf>
    <xf numFmtId="178" fontId="7" fillId="2" borderId="0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 quotePrefix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0" fillId="3" borderId="0" xfId="0" applyFill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left"/>
      <protection/>
    </xf>
    <xf numFmtId="0" fontId="7" fillId="3" borderId="0" xfId="0" applyFont="1" applyFill="1" applyBorder="1" applyAlignment="1" applyProtection="1" quotePrefix="1">
      <alignment horizontal="left"/>
      <protection/>
    </xf>
    <xf numFmtId="178" fontId="7" fillId="3" borderId="0" xfId="0" applyNumberFormat="1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 quotePrefix="1">
      <alignment horizontal="center"/>
      <protection/>
    </xf>
    <xf numFmtId="0" fontId="7" fillId="3" borderId="0" xfId="0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7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11" fillId="2" borderId="1" xfId="0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 quotePrefix="1">
      <alignment horizontal="center"/>
      <protection/>
    </xf>
    <xf numFmtId="0" fontId="12" fillId="3" borderId="0" xfId="0" applyFont="1" applyFill="1" applyAlignment="1">
      <alignment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 horizontal="fill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1" fillId="2" borderId="5" xfId="0" applyFont="1" applyFill="1" applyBorder="1" applyAlignment="1">
      <alignment horizontal="center"/>
    </xf>
    <xf numFmtId="0" fontId="15" fillId="3" borderId="0" xfId="0" applyFont="1" applyFill="1" applyBorder="1" applyAlignment="1" applyProtection="1" quotePrefix="1">
      <alignment horizontal="right"/>
      <protection/>
    </xf>
    <xf numFmtId="0" fontId="12" fillId="2" borderId="6" xfId="0" applyFont="1" applyFill="1" applyBorder="1" applyAlignment="1" applyProtection="1">
      <alignment horizontal="center"/>
      <protection/>
    </xf>
    <xf numFmtId="0" fontId="12" fillId="2" borderId="7" xfId="0" applyFont="1" applyFill="1" applyBorder="1" applyAlignment="1" applyProtection="1">
      <alignment horizontal="center"/>
      <protection/>
    </xf>
    <xf numFmtId="0" fontId="12" fillId="2" borderId="8" xfId="0" applyFont="1" applyFill="1" applyBorder="1" applyAlignment="1" applyProtection="1">
      <alignment horizontal="center"/>
      <protection/>
    </xf>
    <xf numFmtId="0" fontId="17" fillId="4" borderId="9" xfId="0" applyFont="1" applyFill="1" applyBorder="1" applyAlignment="1" applyProtection="1">
      <alignment horizontal="center"/>
      <protection locked="0"/>
    </xf>
    <xf numFmtId="0" fontId="17" fillId="4" borderId="10" xfId="0" applyFont="1" applyFill="1" applyBorder="1" applyAlignment="1" applyProtection="1">
      <alignment horizontal="center"/>
      <protection locked="0"/>
    </xf>
    <xf numFmtId="177" fontId="18" fillId="2" borderId="7" xfId="0" applyNumberFormat="1" applyFont="1" applyFill="1" applyBorder="1" applyAlignment="1" applyProtection="1">
      <alignment/>
      <protection/>
    </xf>
    <xf numFmtId="0" fontId="18" fillId="2" borderId="8" xfId="0" applyFont="1" applyFill="1" applyBorder="1" applyAlignment="1" applyProtection="1">
      <alignment horizontal="center"/>
      <protection/>
    </xf>
    <xf numFmtId="181" fontId="14" fillId="2" borderId="11" xfId="0" applyNumberFormat="1" applyFont="1" applyFill="1" applyBorder="1" applyAlignment="1" applyProtection="1">
      <alignment/>
      <protection/>
    </xf>
    <xf numFmtId="0" fontId="17" fillId="4" borderId="12" xfId="0" applyFont="1" applyFill="1" applyBorder="1" applyAlignment="1" applyProtection="1">
      <alignment horizontal="center"/>
      <protection locked="0"/>
    </xf>
    <xf numFmtId="0" fontId="17" fillId="4" borderId="8" xfId="0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 applyProtection="1">
      <alignment/>
      <protection/>
    </xf>
    <xf numFmtId="0" fontId="16" fillId="2" borderId="13" xfId="0" applyFont="1" applyFill="1" applyBorder="1" applyAlignment="1" applyProtection="1" quotePrefix="1">
      <alignment horizontal="center"/>
      <protection/>
    </xf>
    <xf numFmtId="0" fontId="17" fillId="3" borderId="0" xfId="0" applyFont="1" applyFill="1" applyAlignment="1" applyProtection="1">
      <alignment/>
      <protection/>
    </xf>
    <xf numFmtId="0" fontId="19" fillId="2" borderId="14" xfId="0" applyFont="1" applyFill="1" applyBorder="1" applyAlignment="1" applyProtection="1" quotePrefix="1">
      <alignment horizontal="right"/>
      <protection/>
    </xf>
    <xf numFmtId="180" fontId="19" fillId="2" borderId="15" xfId="0" applyNumberFormat="1" applyFont="1" applyFill="1" applyBorder="1" applyAlignment="1" applyProtection="1">
      <alignment horizontal="right"/>
      <protection/>
    </xf>
    <xf numFmtId="0" fontId="19" fillId="2" borderId="15" xfId="0" applyFont="1" applyFill="1" applyBorder="1" applyAlignment="1" applyProtection="1">
      <alignment/>
      <protection/>
    </xf>
    <xf numFmtId="0" fontId="19" fillId="2" borderId="16" xfId="0" applyFont="1" applyFill="1" applyBorder="1" applyAlignment="1">
      <alignment/>
    </xf>
    <xf numFmtId="0" fontId="12" fillId="2" borderId="0" xfId="0" applyFont="1" applyFill="1" applyAlignment="1">
      <alignment/>
    </xf>
    <xf numFmtId="0" fontId="16" fillId="2" borderId="0" xfId="0" applyFont="1" applyFill="1" applyAlignment="1" applyProtection="1" quotePrefix="1">
      <alignment horizontal="right"/>
      <protection/>
    </xf>
    <xf numFmtId="180" fontId="14" fillId="2" borderId="0" xfId="0" applyNumberFormat="1" applyFont="1" applyFill="1" applyAlignment="1" applyProtection="1">
      <alignment horizontal="right"/>
      <protection/>
    </xf>
    <xf numFmtId="0" fontId="17" fillId="2" borderId="0" xfId="0" applyFont="1" applyFill="1" applyAlignment="1" applyProtection="1">
      <alignment/>
      <protection locked="0"/>
    </xf>
    <xf numFmtId="0" fontId="20" fillId="2" borderId="0" xfId="0" applyFont="1" applyFill="1" applyAlignment="1" applyProtection="1" quotePrefix="1">
      <alignment horizontal="left"/>
      <protection/>
    </xf>
    <xf numFmtId="181" fontId="14" fillId="2" borderId="0" xfId="0" applyNumberFormat="1" applyFont="1" applyFill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 quotePrefix="1">
      <alignment horizontal="right"/>
      <protection locked="0"/>
    </xf>
    <xf numFmtId="2" fontId="14" fillId="2" borderId="0" xfId="0" applyNumberFormat="1" applyFont="1" applyFill="1" applyAlignment="1" applyProtection="1">
      <alignment horizontal="right"/>
      <protection/>
    </xf>
    <xf numFmtId="0" fontId="12" fillId="2" borderId="0" xfId="0" applyFont="1" applyFill="1" applyAlignment="1">
      <alignment horizontal="left"/>
    </xf>
    <xf numFmtId="0" fontId="22" fillId="3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/>
      <protection/>
    </xf>
    <xf numFmtId="0" fontId="18" fillId="2" borderId="0" xfId="0" applyFont="1" applyFill="1" applyAlignment="1" applyProtection="1" quotePrefix="1">
      <alignment horizontal="left"/>
      <protection/>
    </xf>
    <xf numFmtId="0" fontId="17" fillId="4" borderId="17" xfId="0" applyFont="1" applyFill="1" applyBorder="1" applyAlignment="1" applyProtection="1">
      <alignment horizontal="center"/>
      <protection locked="0"/>
    </xf>
    <xf numFmtId="0" fontId="22" fillId="3" borderId="18" xfId="0" applyFont="1" applyFill="1" applyBorder="1" applyAlignment="1" applyProtection="1">
      <alignment horizontal="center"/>
      <protection locked="0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 applyProtection="1" quotePrefix="1">
      <alignment horizontal="left"/>
      <protection/>
    </xf>
    <xf numFmtId="0" fontId="22" fillId="2" borderId="0" xfId="0" applyFont="1" applyFill="1" applyAlignment="1">
      <alignment/>
    </xf>
    <xf numFmtId="0" fontId="22" fillId="3" borderId="0" xfId="0" applyFont="1" applyFill="1" applyBorder="1" applyAlignment="1" applyProtection="1">
      <alignment horizontal="left"/>
      <protection locked="0"/>
    </xf>
    <xf numFmtId="0" fontId="24" fillId="3" borderId="0" xfId="0" applyFont="1" applyFill="1" applyAlignment="1" applyProtection="1" quotePrefix="1">
      <alignment horizontal="right"/>
      <protection/>
    </xf>
    <xf numFmtId="181" fontId="23" fillId="2" borderId="12" xfId="0" applyNumberFormat="1" applyFont="1" applyFill="1" applyBorder="1" applyAlignment="1" applyProtection="1">
      <alignment/>
      <protection/>
    </xf>
    <xf numFmtId="182" fontId="14" fillId="2" borderId="12" xfId="0" applyNumberFormat="1" applyFont="1" applyFill="1" applyBorder="1" applyAlignment="1" applyProtection="1">
      <alignment/>
      <protection/>
    </xf>
    <xf numFmtId="0" fontId="15" fillId="3" borderId="0" xfId="0" applyFont="1" applyFill="1" applyAlignment="1" applyProtection="1" quotePrefix="1">
      <alignment horizontal="center" vertical="center"/>
      <protection/>
    </xf>
    <xf numFmtId="0" fontId="13" fillId="3" borderId="0" xfId="0" applyFont="1" applyFill="1" applyAlignment="1" applyProtection="1" quotePrefix="1">
      <alignment horizontal="center" vertical="center"/>
      <protection/>
    </xf>
    <xf numFmtId="0" fontId="17" fillId="3" borderId="0" xfId="0" applyFont="1" applyFill="1" applyAlignment="1" applyProtection="1">
      <alignment/>
      <protection locked="0"/>
    </xf>
    <xf numFmtId="0" fontId="12" fillId="3" borderId="0" xfId="0" applyFont="1" applyFill="1" applyAlignment="1" applyProtection="1">
      <alignment horizontal="fill"/>
      <protection/>
    </xf>
    <xf numFmtId="0" fontId="12" fillId="3" borderId="0" xfId="0" applyFont="1" applyFill="1" applyAlignment="1">
      <alignment horizontal="center"/>
    </xf>
    <xf numFmtId="0" fontId="25" fillId="2" borderId="0" xfId="0" applyFont="1" applyFill="1" applyAlignment="1">
      <alignment/>
    </xf>
    <xf numFmtId="0" fontId="12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/>
      <protection/>
    </xf>
    <xf numFmtId="182" fontId="16" fillId="2" borderId="13" xfId="0" applyNumberFormat="1" applyFont="1" applyFill="1" applyBorder="1" applyAlignment="1" applyProtection="1" quotePrefix="1">
      <alignment horizontal="left"/>
      <protection/>
    </xf>
    <xf numFmtId="182" fontId="14" fillId="2" borderId="11" xfId="0" applyNumberFormat="1" applyFont="1" applyFill="1" applyBorder="1" applyAlignment="1" applyProtection="1">
      <alignment/>
      <protection/>
    </xf>
    <xf numFmtId="183" fontId="14" fillId="2" borderId="0" xfId="0" applyNumberFormat="1" applyFont="1" applyFill="1" applyAlignment="1" applyProtection="1">
      <alignment horizontal="left"/>
      <protection/>
    </xf>
    <xf numFmtId="184" fontId="14" fillId="2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425"/>
          <c:h val="0.94975"/>
        </c:manualLayout>
      </c:layout>
      <c:lineChart>
        <c:grouping val="standard"/>
        <c:varyColors val="0"/>
        <c:ser>
          <c:idx val="0"/>
          <c:order val="0"/>
          <c:tx>
            <c:v>Regression line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SAMP!$AR$65:$AR$165</c:f>
              <c:numCache>
                <c:ptCount val="101"/>
                <c:pt idx="0">
                  <c:v>0</c:v>
                </c:pt>
                <c:pt idx="10">
                  <c:v>7.751823458954512</c:v>
                </c:pt>
                <c:pt idx="20">
                  <c:v>15.503646917909023</c:v>
                </c:pt>
                <c:pt idx="30">
                  <c:v>23.255470376863535</c:v>
                </c:pt>
                <c:pt idx="40">
                  <c:v>31.007293835818047</c:v>
                </c:pt>
                <c:pt idx="50">
                  <c:v>38.75911729477256</c:v>
                </c:pt>
                <c:pt idx="60">
                  <c:v>46.51094075372707</c:v>
                </c:pt>
                <c:pt idx="70">
                  <c:v>54.26276421268158</c:v>
                </c:pt>
              </c:numCache>
            </c:numRef>
          </c:cat>
          <c:val>
            <c:numRef>
              <c:f>SAMP!$AM$65:$AM$164</c:f>
              <c:numCache>
                <c:ptCount val="100"/>
                <c:pt idx="0">
                  <c:v>2.8798668745645095</c:v>
                </c:pt>
                <c:pt idx="1">
                  <c:v>2.8084197658188645</c:v>
                </c:pt>
                <c:pt idx="2">
                  <c:v>2.736972657073219</c:v>
                </c:pt>
                <c:pt idx="3">
                  <c:v>2.665525548327574</c:v>
                </c:pt>
                <c:pt idx="4">
                  <c:v>2.594078439581929</c:v>
                </c:pt>
                <c:pt idx="5">
                  <c:v>2.522631330836284</c:v>
                </c:pt>
                <c:pt idx="6">
                  <c:v>2.451184222090639</c:v>
                </c:pt>
                <c:pt idx="7">
                  <c:v>2.379737113344994</c:v>
                </c:pt>
                <c:pt idx="8">
                  <c:v>2.308290004599349</c:v>
                </c:pt>
                <c:pt idx="9">
                  <c:v>2.2368428958537034</c:v>
                </c:pt>
                <c:pt idx="10">
                  <c:v>2.1653957871080585</c:v>
                </c:pt>
                <c:pt idx="11">
                  <c:v>2.0939486783624135</c:v>
                </c:pt>
                <c:pt idx="12">
                  <c:v>2.0225015696167685</c:v>
                </c:pt>
                <c:pt idx="13">
                  <c:v>1.951054460871123</c:v>
                </c:pt>
                <c:pt idx="14">
                  <c:v>1.8796073521254781</c:v>
                </c:pt>
                <c:pt idx="15">
                  <c:v>1.808160243379833</c:v>
                </c:pt>
                <c:pt idx="16">
                  <c:v>1.7367131346341877</c:v>
                </c:pt>
                <c:pt idx="17">
                  <c:v>1.6652660258885426</c:v>
                </c:pt>
                <c:pt idx="18">
                  <c:v>1.5938189171428974</c:v>
                </c:pt>
                <c:pt idx="19">
                  <c:v>1.5223718083972522</c:v>
                </c:pt>
                <c:pt idx="20">
                  <c:v>1.450924699651607</c:v>
                </c:pt>
                <c:pt idx="21">
                  <c:v>1.379477590905962</c:v>
                </c:pt>
                <c:pt idx="22">
                  <c:v>1.308030482160317</c:v>
                </c:pt>
                <c:pt idx="23">
                  <c:v>1.2365833734146718</c:v>
                </c:pt>
                <c:pt idx="24">
                  <c:v>1.1651362646690266</c:v>
                </c:pt>
                <c:pt idx="25">
                  <c:v>1.0936891559233815</c:v>
                </c:pt>
                <c:pt idx="26">
                  <c:v>1.0222420471777363</c:v>
                </c:pt>
                <c:pt idx="27">
                  <c:v>0.9507949384320911</c:v>
                </c:pt>
                <c:pt idx="28">
                  <c:v>0.8793478296864459</c:v>
                </c:pt>
                <c:pt idx="29">
                  <c:v>0.8079007209408009</c:v>
                </c:pt>
                <c:pt idx="30">
                  <c:v>0.7364536121951555</c:v>
                </c:pt>
                <c:pt idx="31">
                  <c:v>0.6650065034495105</c:v>
                </c:pt>
                <c:pt idx="32">
                  <c:v>0.5935593947038651</c:v>
                </c:pt>
                <c:pt idx="33">
                  <c:v>0.5221122859582201</c:v>
                </c:pt>
                <c:pt idx="34">
                  <c:v>0.45066517721257515</c:v>
                </c:pt>
                <c:pt idx="35">
                  <c:v>0.37921806846692974</c:v>
                </c:pt>
                <c:pt idx="36">
                  <c:v>0.30777095972128476</c:v>
                </c:pt>
                <c:pt idx="37">
                  <c:v>0.23632385097563935</c:v>
                </c:pt>
                <c:pt idx="38">
                  <c:v>0.16487674222999438</c:v>
                </c:pt>
                <c:pt idx="39">
                  <c:v>0.09342963348434896</c:v>
                </c:pt>
                <c:pt idx="40">
                  <c:v>0.02198252473870399</c:v>
                </c:pt>
                <c:pt idx="41">
                  <c:v>-0.04946458400694098</c:v>
                </c:pt>
                <c:pt idx="42">
                  <c:v>-0.12091169275258595</c:v>
                </c:pt>
                <c:pt idx="43">
                  <c:v>-0.19235880149823137</c:v>
                </c:pt>
                <c:pt idx="44">
                  <c:v>-0.26380591024387634</c:v>
                </c:pt>
                <c:pt idx="45">
                  <c:v>-0.3352530189895213</c:v>
                </c:pt>
                <c:pt idx="46">
                  <c:v>-0.4067001277351667</c:v>
                </c:pt>
                <c:pt idx="47">
                  <c:v>-0.4781472364808117</c:v>
                </c:pt>
                <c:pt idx="48">
                  <c:v>-0.5495943452264571</c:v>
                </c:pt>
                <c:pt idx="49">
                  <c:v>-0.6210414539721021</c:v>
                </c:pt>
                <c:pt idx="50">
                  <c:v>-0.6924885627177475</c:v>
                </c:pt>
                <c:pt idx="51">
                  <c:v>-0.7639356714633925</c:v>
                </c:pt>
                <c:pt idx="52">
                  <c:v>-0.8353827802090374</c:v>
                </c:pt>
                <c:pt idx="53">
                  <c:v>-0.9068298889546829</c:v>
                </c:pt>
                <c:pt idx="54">
                  <c:v>-0.9782769977003278</c:v>
                </c:pt>
                <c:pt idx="55">
                  <c:v>-1.0497241064459732</c:v>
                </c:pt>
                <c:pt idx="56">
                  <c:v>-1.1211712151916187</c:v>
                </c:pt>
                <c:pt idx="57">
                  <c:v>-1.1926183239372632</c:v>
                </c:pt>
                <c:pt idx="58">
                  <c:v>-1.2640654326829086</c:v>
                </c:pt>
                <c:pt idx="59">
                  <c:v>-1.335512541428554</c:v>
                </c:pt>
                <c:pt idx="60">
                  <c:v>-1.4069596501741986</c:v>
                </c:pt>
                <c:pt idx="61">
                  <c:v>-1.478406758919844</c:v>
                </c:pt>
                <c:pt idx="62">
                  <c:v>-1.5498538676654894</c:v>
                </c:pt>
                <c:pt idx="63">
                  <c:v>-1.6213009764111348</c:v>
                </c:pt>
                <c:pt idx="64">
                  <c:v>-1.6927480851567793</c:v>
                </c:pt>
                <c:pt idx="65">
                  <c:v>-1.7641951939024247</c:v>
                </c:pt>
                <c:pt idx="66">
                  <c:v>-1.8356423026480702</c:v>
                </c:pt>
                <c:pt idx="67">
                  <c:v>-1.9070894113937147</c:v>
                </c:pt>
                <c:pt idx="68">
                  <c:v>-1.97853652013936</c:v>
                </c:pt>
                <c:pt idx="69">
                  <c:v>-2.0499836288850055</c:v>
                </c:pt>
                <c:pt idx="70">
                  <c:v>-2.121430737630651</c:v>
                </c:pt>
                <c:pt idx="71">
                  <c:v>-2.1928778463762955</c:v>
                </c:pt>
                <c:pt idx="72">
                  <c:v>-2.264324955121941</c:v>
                </c:pt>
                <c:pt idx="73">
                  <c:v>-2.3357720638675863</c:v>
                </c:pt>
                <c:pt idx="74">
                  <c:v>-2.407219172613231</c:v>
                </c:pt>
                <c:pt idx="75">
                  <c:v>-2.4786662813588762</c:v>
                </c:pt>
                <c:pt idx="76">
                  <c:v>-2.5501133901045216</c:v>
                </c:pt>
                <c:pt idx="77">
                  <c:v>-2.621560498850167</c:v>
                </c:pt>
                <c:pt idx="78">
                  <c:v>-2.6930076075958116</c:v>
                </c:pt>
              </c:numCache>
            </c:numRef>
          </c:val>
          <c:smooth val="0"/>
        </c:ser>
        <c:ser>
          <c:idx val="1"/>
          <c:order val="1"/>
          <c:tx>
            <c:v>Ki+CI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SAMP!$AR$65:$AR$165</c:f>
              <c:numCache>
                <c:ptCount val="101"/>
                <c:pt idx="0">
                  <c:v>0</c:v>
                </c:pt>
                <c:pt idx="10">
                  <c:v>7.751823458954512</c:v>
                </c:pt>
                <c:pt idx="20">
                  <c:v>15.503646917909023</c:v>
                </c:pt>
                <c:pt idx="30">
                  <c:v>23.255470376863535</c:v>
                </c:pt>
                <c:pt idx="40">
                  <c:v>31.007293835818047</c:v>
                </c:pt>
                <c:pt idx="50">
                  <c:v>38.75911729477256</c:v>
                </c:pt>
                <c:pt idx="60">
                  <c:v>46.51094075372707</c:v>
                </c:pt>
                <c:pt idx="70">
                  <c:v>54.26276421268158</c:v>
                </c:pt>
              </c:numCache>
            </c:numRef>
          </c:cat>
          <c:val>
            <c:numRef>
              <c:f>SAMP!$W$9</c:f>
              <c:numCache>
                <c:ptCount val="1"/>
                <c:pt idx="0">
                  <c:v>7.2582193481298205</c:v>
                </c:pt>
              </c:numCache>
            </c:numRef>
          </c:val>
          <c:smooth val="0"/>
        </c:ser>
        <c:ser>
          <c:idx val="2"/>
          <c:order val="2"/>
          <c:tx>
            <c:v>Ki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elete val="1"/>
          </c:dLbls>
          <c:cat>
            <c:numRef>
              <c:f>SAMP!$AR$65:$AR$165</c:f>
              <c:numCache>
                <c:ptCount val="101"/>
                <c:pt idx="0">
                  <c:v>0</c:v>
                </c:pt>
                <c:pt idx="10">
                  <c:v>7.751823458954512</c:v>
                </c:pt>
                <c:pt idx="20">
                  <c:v>15.503646917909023</c:v>
                </c:pt>
                <c:pt idx="30">
                  <c:v>23.255470376863535</c:v>
                </c:pt>
                <c:pt idx="40">
                  <c:v>31.007293835818047</c:v>
                </c:pt>
                <c:pt idx="50">
                  <c:v>38.75911729477256</c:v>
                </c:pt>
                <c:pt idx="60">
                  <c:v>46.51094075372707</c:v>
                </c:pt>
                <c:pt idx="70">
                  <c:v>54.26276421268158</c:v>
                </c:pt>
              </c:numCache>
            </c:numRef>
          </c:cat>
          <c:val>
            <c:numRef>
              <c:f>SAMP!$F$11</c:f>
              <c:numCache>
                <c:ptCount val="1"/>
                <c:pt idx="0">
                  <c:v>2.8798668745645095</c:v>
                </c:pt>
              </c:numCache>
            </c:numRef>
          </c:val>
          <c:smooth val="0"/>
        </c:ser>
        <c:ser>
          <c:idx val="3"/>
          <c:order val="3"/>
          <c:tx>
            <c:v>Raw data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SAMP!$AR$65:$AR$165</c:f>
              <c:numCache>
                <c:ptCount val="101"/>
                <c:pt idx="0">
                  <c:v>0</c:v>
                </c:pt>
                <c:pt idx="10">
                  <c:v>7.751823458954512</c:v>
                </c:pt>
                <c:pt idx="20">
                  <c:v>15.503646917909023</c:v>
                </c:pt>
                <c:pt idx="30">
                  <c:v>23.255470376863535</c:v>
                </c:pt>
                <c:pt idx="40">
                  <c:v>31.007293835818047</c:v>
                </c:pt>
                <c:pt idx="50">
                  <c:v>38.75911729477256</c:v>
                </c:pt>
                <c:pt idx="60">
                  <c:v>46.51094075372707</c:v>
                </c:pt>
                <c:pt idx="70">
                  <c:v>54.26276421268158</c:v>
                </c:pt>
              </c:numCache>
            </c:numRef>
          </c:cat>
          <c:val>
            <c:numRef>
              <c:f>SAMP!$BB$65:$BB$165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2.326785332558966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1.4053222638368084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1.036431485189561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Ki - CI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SAMP!$AR$65:$AR$165</c:f>
              <c:numCache>
                <c:ptCount val="101"/>
                <c:pt idx="0">
                  <c:v>0</c:v>
                </c:pt>
                <c:pt idx="10">
                  <c:v>7.751823458954512</c:v>
                </c:pt>
                <c:pt idx="20">
                  <c:v>15.503646917909023</c:v>
                </c:pt>
                <c:pt idx="30">
                  <c:v>23.255470376863535</c:v>
                </c:pt>
                <c:pt idx="40">
                  <c:v>31.007293835818047</c:v>
                </c:pt>
                <c:pt idx="50">
                  <c:v>38.75911729477256</c:v>
                </c:pt>
                <c:pt idx="60">
                  <c:v>46.51094075372707</c:v>
                </c:pt>
                <c:pt idx="70">
                  <c:v>54.26276421268158</c:v>
                </c:pt>
              </c:numCache>
            </c:numRef>
          </c:cat>
          <c:val>
            <c:numRef>
              <c:f>SAMP!$X$9</c:f>
              <c:numCache>
                <c:ptCount val="1"/>
                <c:pt idx="0">
                  <c:v>-1.4984855990008024</c:v>
                </c:pt>
              </c:numCache>
            </c:numRef>
          </c:val>
          <c:smooth val="0"/>
        </c:ser>
        <c:marker val="1"/>
        <c:axId val="27622305"/>
        <c:axId val="47274154"/>
      </c:lineChart>
      <c:catAx>
        <c:axId val="27622305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74154"/>
        <c:crosses val="autoZero"/>
        <c:auto val="1"/>
        <c:lblOffset val="100"/>
        <c:tickLblSkip val="10"/>
        <c:tickMarkSkip val="5"/>
        <c:noMultiLvlLbl val="0"/>
      </c:catAx>
      <c:valAx>
        <c:axId val="47274154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probit germination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CC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7622305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6"/>
          <c:h val="0.9355"/>
        </c:manualLayout>
      </c:layout>
      <c:lineChart>
        <c:grouping val="standard"/>
        <c:varyColors val="0"/>
        <c:ser>
          <c:idx val="0"/>
          <c:order val="0"/>
          <c:tx>
            <c:v>Regression line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SAMP!$AR$65:$AR$165</c:f>
              <c:numCache>
                <c:ptCount val="101"/>
                <c:pt idx="0">
                  <c:v>0</c:v>
                </c:pt>
                <c:pt idx="10">
                  <c:v>7.751823458954512</c:v>
                </c:pt>
                <c:pt idx="20">
                  <c:v>15.503646917909023</c:v>
                </c:pt>
                <c:pt idx="30">
                  <c:v>23.255470376863535</c:v>
                </c:pt>
                <c:pt idx="40">
                  <c:v>31.007293835818047</c:v>
                </c:pt>
                <c:pt idx="50">
                  <c:v>38.75911729477256</c:v>
                </c:pt>
                <c:pt idx="60">
                  <c:v>46.51094075372707</c:v>
                </c:pt>
                <c:pt idx="70">
                  <c:v>54.26276421268158</c:v>
                </c:pt>
              </c:numCache>
            </c:numRef>
          </c:cat>
          <c:val>
            <c:numRef>
              <c:f>SAMP!$AP$65:$AP$165</c:f>
              <c:numCache>
                <c:ptCount val="101"/>
                <c:pt idx="0">
                  <c:v>99.79651922592406</c:v>
                </c:pt>
                <c:pt idx="1">
                  <c:v>99.74617303381957</c:v>
                </c:pt>
                <c:pt idx="2">
                  <c:v>99.68474493872763</c:v>
                </c:pt>
                <c:pt idx="3">
                  <c:v>99.61015794316849</c:v>
                </c:pt>
                <c:pt idx="4">
                  <c:v>99.5200334405915</c:v>
                </c:pt>
                <c:pt idx="5">
                  <c:v>99.41166691599167</c:v>
                </c:pt>
                <c:pt idx="6">
                  <c:v>99.28200589538643</c:v>
                </c:pt>
                <c:pt idx="7">
                  <c:v>99.12763124032297</c:v>
                </c:pt>
                <c:pt idx="8">
                  <c:v>98.94474299418357</c:v>
                </c:pt>
                <c:pt idx="9">
                  <c:v>98.7291520716573</c:v>
                </c:pt>
                <c:pt idx="10">
                  <c:v>98.476279132333</c:v>
                </c:pt>
                <c:pt idx="11">
                  <c:v>98.18116198499813</c:v>
                </c:pt>
                <c:pt idx="12">
                  <c:v>97.83847282254963</c:v>
                </c:pt>
                <c:pt idx="13">
                  <c:v>97.44254648128167</c:v>
                </c:pt>
                <c:pt idx="14">
                  <c:v>96.98742074735402</c:v>
                </c:pt>
                <c:pt idx="15">
                  <c:v>96.46688949453093</c:v>
                </c:pt>
                <c:pt idx="16">
                  <c:v>95.87456913084364</c:v>
                </c:pt>
                <c:pt idx="17">
                  <c:v>95.20397846113727</c:v>
                </c:pt>
                <c:pt idx="18">
                  <c:v>94.44863164471464</c:v>
                </c:pt>
                <c:pt idx="19">
                  <c:v>93.60214345355348</c:v>
                </c:pt>
                <c:pt idx="20">
                  <c:v>92.65834553167561</c:v>
                </c:pt>
                <c:pt idx="21">
                  <c:v>91.61141183843155</c:v>
                </c:pt>
                <c:pt idx="22">
                  <c:v>90.45599094879142</c:v>
                </c:pt>
                <c:pt idx="23">
                  <c:v>89.18734240524222</c:v>
                </c:pt>
                <c:pt idx="24">
                  <c:v>87.80147389253735</c:v>
                </c:pt>
                <c:pt idx="25">
                  <c:v>86.29527566199593</c:v>
                </c:pt>
                <c:pt idx="26">
                  <c:v>84.66664838834687</c:v>
                </c:pt>
                <c:pt idx="27">
                  <c:v>82.91462051835259</c:v>
                </c:pt>
                <c:pt idx="28">
                  <c:v>81.03945118148883</c:v>
                </c:pt>
                <c:pt idx="29">
                  <c:v>79.04271488830592</c:v>
                </c:pt>
                <c:pt idx="30">
                  <c:v>76.92736454502759</c:v>
                </c:pt>
                <c:pt idx="31">
                  <c:v>74.69776975992049</c:v>
                </c:pt>
                <c:pt idx="32">
                  <c:v>72.35972799744049</c:v>
                </c:pt>
                <c:pt idx="33">
                  <c:v>69.92044683277238</c:v>
                </c:pt>
                <c:pt idx="34">
                  <c:v>67.38849634854445</c:v>
                </c:pt>
                <c:pt idx="35">
                  <c:v>64.77373156841955</c:v>
                </c:pt>
                <c:pt idx="36">
                  <c:v>62.08718570621903</c:v>
                </c:pt>
                <c:pt idx="37">
                  <c:v>59.34093588919115</c:v>
                </c:pt>
                <c:pt idx="38">
                  <c:v>56.54794385437032</c:v>
                </c:pt>
                <c:pt idx="39">
                  <c:v>53.72187488329961</c:v>
                </c:pt>
                <c:pt idx="40">
                  <c:v>50.87689890129339</c:v>
                </c:pt>
                <c:pt idx="41">
                  <c:v>48.027463995973044</c:v>
                </c:pt>
                <c:pt idx="42">
                  <c:v>45.18806017304202</c:v>
                </c:pt>
                <c:pt idx="43">
                  <c:v>42.37306024517058</c:v>
                </c:pt>
                <c:pt idx="44">
                  <c:v>39.596464522280364</c:v>
                </c:pt>
                <c:pt idx="45">
                  <c:v>36.87169032668165</c:v>
                </c:pt>
                <c:pt idx="46">
                  <c:v>34.211379451200145</c:v>
                </c:pt>
                <c:pt idx="47">
                  <c:v>31.627225033280492</c:v>
                </c:pt>
                <c:pt idx="48">
                  <c:v>29.129821531332702</c:v>
                </c:pt>
                <c:pt idx="49">
                  <c:v>26.72854078467153</c:v>
                </c:pt>
                <c:pt idx="50">
                  <c:v>24.431436339688894</c:v>
                </c:pt>
                <c:pt idx="51">
                  <c:v>22.24517736515139</c:v>
                </c:pt>
                <c:pt idx="52">
                  <c:v>20.175012593790942</c:v>
                </c:pt>
                <c:pt idx="53">
                  <c:v>18.224763851288948</c:v>
                </c:pt>
                <c:pt idx="54">
                  <c:v>16.396847901663413</c:v>
                </c:pt>
                <c:pt idx="55">
                  <c:v>14.692324581355443</c:v>
                </c:pt>
                <c:pt idx="56">
                  <c:v>13.110968539905944</c:v>
                </c:pt>
                <c:pt idx="57">
                  <c:v>11.651361374295844</c:v>
                </c:pt>
                <c:pt idx="58">
                  <c:v>10.31100055158981</c:v>
                </c:pt>
                <c:pt idx="59">
                  <c:v>9.086421268321331</c:v>
                </c:pt>
                <c:pt idx="60">
                  <c:v>7.9733272959589545</c:v>
                </c:pt>
                <c:pt idx="61">
                  <c:v>6.96672690404484</c:v>
                </c:pt>
                <c:pt idx="62">
                  <c:v>6.061070124507884</c:v>
                </c:pt>
                <c:pt idx="63">
                  <c:v>5.250383905597101</c:v>
                </c:pt>
                <c:pt idx="64">
                  <c:v>4.528402081468908</c:v>
                </c:pt>
                <c:pt idx="65">
                  <c:v>3.888687530869417</c:v>
                </c:pt>
                <c:pt idx="66">
                  <c:v>3.3247443916484487</c:v>
                </c:pt>
                <c:pt idx="67">
                  <c:v>2.8301187132856565</c:v>
                </c:pt>
                <c:pt idx="68">
                  <c:v>2.398486444810888</c:v>
                </c:pt>
                <c:pt idx="69">
                  <c:v>2.0237281503952875</c:v>
                </c:pt>
                <c:pt idx="70">
                  <c:v>1.6999903024907836</c:v>
                </c:pt>
                <c:pt idx="71">
                  <c:v>1.4217334092956002</c:v>
                </c:pt>
                <c:pt idx="72">
                  <c:v>1.1837675799435954</c:v>
                </c:pt>
                <c:pt idx="73">
                  <c:v>0.9812764114159211</c:v>
                </c:pt>
                <c:pt idx="74">
                  <c:v>0.8098302936572432</c:v>
                </c:pt>
                <c:pt idx="75">
                  <c:v>0.6653903749139101</c:v>
                </c:pt>
                <c:pt idx="76">
                  <c:v>0.5443045118349477</c:v>
                </c:pt>
                <c:pt idx="77">
                  <c:v>0.4432965545089762</c:v>
                </c:pt>
                <c:pt idx="78">
                  <c:v>0.35945029303980913</c:v>
                </c:pt>
              </c:numCache>
            </c:numRef>
          </c:val>
          <c:smooth val="0"/>
        </c:ser>
        <c:ser>
          <c:idx val="1"/>
          <c:order val="1"/>
          <c:tx>
            <c:v>Ki+CI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SAMP!$AR$65:$AR$165</c:f>
              <c:numCache>
                <c:ptCount val="101"/>
                <c:pt idx="0">
                  <c:v>0</c:v>
                </c:pt>
                <c:pt idx="10">
                  <c:v>7.751823458954512</c:v>
                </c:pt>
                <c:pt idx="20">
                  <c:v>15.503646917909023</c:v>
                </c:pt>
                <c:pt idx="30">
                  <c:v>23.255470376863535</c:v>
                </c:pt>
                <c:pt idx="40">
                  <c:v>31.007293835818047</c:v>
                </c:pt>
                <c:pt idx="50">
                  <c:v>38.75911729477256</c:v>
                </c:pt>
                <c:pt idx="60">
                  <c:v>46.51094075372707</c:v>
                </c:pt>
                <c:pt idx="70">
                  <c:v>54.26276421268158</c:v>
                </c:pt>
              </c:numCache>
            </c:numRef>
          </c:cat>
          <c:val>
            <c:numRef>
              <c:f>SAMP!$W$10</c:f>
              <c:numCache>
                <c:ptCount val="1"/>
                <c:pt idx="0">
                  <c:v>99.9999999995864</c:v>
                </c:pt>
              </c:numCache>
            </c:numRef>
          </c:val>
          <c:smooth val="0"/>
        </c:ser>
        <c:ser>
          <c:idx val="2"/>
          <c:order val="2"/>
          <c:tx>
            <c:v>Ki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elete val="1"/>
          </c:dLbls>
          <c:cat>
            <c:numRef>
              <c:f>SAMP!$AR$65:$AR$165</c:f>
              <c:numCache>
                <c:ptCount val="101"/>
                <c:pt idx="0">
                  <c:v>0</c:v>
                </c:pt>
                <c:pt idx="10">
                  <c:v>7.751823458954512</c:v>
                </c:pt>
                <c:pt idx="20">
                  <c:v>15.503646917909023</c:v>
                </c:pt>
                <c:pt idx="30">
                  <c:v>23.255470376863535</c:v>
                </c:pt>
                <c:pt idx="40">
                  <c:v>31.007293835818047</c:v>
                </c:pt>
                <c:pt idx="50">
                  <c:v>38.75911729477256</c:v>
                </c:pt>
                <c:pt idx="60">
                  <c:v>46.51094075372707</c:v>
                </c:pt>
                <c:pt idx="70">
                  <c:v>54.26276421268158</c:v>
                </c:pt>
              </c:numCache>
            </c:numRef>
          </c:cat>
          <c:val>
            <c:numRef>
              <c:f>SAMP!$F$10</c:f>
              <c:numCache>
                <c:ptCount val="1"/>
                <c:pt idx="0">
                  <c:v>99.79651922592406</c:v>
                </c:pt>
              </c:numCache>
            </c:numRef>
          </c:val>
          <c:smooth val="0"/>
        </c:ser>
        <c:ser>
          <c:idx val="3"/>
          <c:order val="3"/>
          <c:tx>
            <c:v>Raw data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SAMP!$AR$65:$AR$165</c:f>
              <c:numCache>
                <c:ptCount val="101"/>
                <c:pt idx="0">
                  <c:v>0</c:v>
                </c:pt>
                <c:pt idx="10">
                  <c:v>7.751823458954512</c:v>
                </c:pt>
                <c:pt idx="20">
                  <c:v>15.503646917909023</c:v>
                </c:pt>
                <c:pt idx="30">
                  <c:v>23.255470376863535</c:v>
                </c:pt>
                <c:pt idx="40">
                  <c:v>31.007293835818047</c:v>
                </c:pt>
                <c:pt idx="50">
                  <c:v>38.75911729477256</c:v>
                </c:pt>
                <c:pt idx="60">
                  <c:v>46.51094075372707</c:v>
                </c:pt>
                <c:pt idx="70">
                  <c:v>54.26276421268158</c:v>
                </c:pt>
              </c:numCache>
            </c:numRef>
          </c:cat>
          <c:val>
            <c:numRef>
              <c:f>SAMP!$AT$65:$AT$165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Ki-CI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SAMP!$AR$65:$AR$165</c:f>
              <c:numCache>
                <c:ptCount val="101"/>
                <c:pt idx="0">
                  <c:v>0</c:v>
                </c:pt>
                <c:pt idx="10">
                  <c:v>7.751823458954512</c:v>
                </c:pt>
                <c:pt idx="20">
                  <c:v>15.503646917909023</c:v>
                </c:pt>
                <c:pt idx="30">
                  <c:v>23.255470376863535</c:v>
                </c:pt>
                <c:pt idx="40">
                  <c:v>31.007293835818047</c:v>
                </c:pt>
                <c:pt idx="50">
                  <c:v>38.75911729477256</c:v>
                </c:pt>
                <c:pt idx="60">
                  <c:v>46.51094075372707</c:v>
                </c:pt>
                <c:pt idx="70">
                  <c:v>54.26276421268158</c:v>
                </c:pt>
              </c:numCache>
            </c:numRef>
          </c:cat>
          <c:val>
            <c:numRef>
              <c:f>SAMP!$X$10</c:f>
              <c:numCache>
                <c:ptCount val="1"/>
                <c:pt idx="0">
                  <c:v>6.702262429036243</c:v>
                </c:pt>
              </c:numCache>
            </c:numRef>
          </c:val>
          <c:smooth val="0"/>
        </c:ser>
        <c:marker val="1"/>
        <c:axId val="22814203"/>
        <c:axId val="4001236"/>
      </c:lineChart>
      <c:catAx>
        <c:axId val="2281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storage days</a:t>
                </a:r>
              </a:p>
            </c:rich>
          </c:tx>
          <c:layout>
            <c:manualLayout>
              <c:xMode val="factor"/>
              <c:yMode val="factor"/>
              <c:x val="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99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1236"/>
        <c:crosses val="autoZero"/>
        <c:auto val="1"/>
        <c:lblOffset val="100"/>
        <c:tickLblSkip val="10"/>
        <c:tickMarkSkip val="5"/>
        <c:noMultiLvlLbl val="0"/>
      </c:catAx>
      <c:valAx>
        <c:axId val="40012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 germination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281420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0.41625</cdr:x>
      <cdr:y>0.9345</cdr:y>
    </cdr:from>
    <cdr:to>
      <cdr:x>0.67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2743200"/>
          <a:ext cx="1466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storage days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626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626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L143"/>
  <sheetViews>
    <sheetView showGridLines="0" tabSelected="1" workbookViewId="0" topLeftCell="A1">
      <selection activeCell="A1" sqref="A1"/>
    </sheetView>
  </sheetViews>
  <sheetFormatPr defaultColWidth="9.59765625" defaultRowHeight="15"/>
  <cols>
    <col min="1" max="1" width="6.09765625" style="3" customWidth="1"/>
    <col min="2" max="2" width="7.8984375" style="3" customWidth="1"/>
    <col min="3" max="3" width="0.796875" style="3" customWidth="1"/>
    <col min="4" max="4" width="8.8984375" style="3" customWidth="1"/>
    <col min="5" max="5" width="5.796875" style="3" customWidth="1"/>
    <col min="6" max="6" width="8.796875" style="3" customWidth="1"/>
    <col min="7" max="7" width="8.59765625" style="3" customWidth="1"/>
    <col min="8" max="8" width="9.796875" style="3" customWidth="1"/>
    <col min="9" max="20" width="9.59765625" style="3" customWidth="1"/>
    <col min="21" max="82" width="9.59765625" style="3" hidden="1" customWidth="1"/>
    <col min="83" max="84" width="9.59765625" style="3" customWidth="1"/>
    <col min="85" max="85" width="12.59765625" style="3" customWidth="1"/>
    <col min="86" max="113" width="9.59765625" style="3" customWidth="1"/>
    <col min="114" max="115" width="1.390625" style="3" customWidth="1"/>
    <col min="116" max="117" width="9.59765625" style="3" customWidth="1"/>
  </cols>
  <sheetData>
    <row r="1" spans="1:9" ht="16.5" customHeight="1" thickBot="1">
      <c r="A1" s="33" t="s">
        <v>95</v>
      </c>
      <c r="B1" s="24"/>
      <c r="C1" s="24"/>
      <c r="D1" s="24"/>
      <c r="E1" s="25"/>
      <c r="F1" s="24"/>
      <c r="G1" s="24"/>
      <c r="H1" s="24"/>
      <c r="I1" s="28"/>
    </row>
    <row r="2" spans="1:116" ht="16.5" customHeight="1">
      <c r="A2" s="34" t="s">
        <v>83</v>
      </c>
      <c r="B2" s="35" t="s">
        <v>84</v>
      </c>
      <c r="C2" s="36"/>
      <c r="D2" s="36"/>
      <c r="E2" s="37" t="s">
        <v>78</v>
      </c>
      <c r="F2" s="38"/>
      <c r="G2" s="39" t="s">
        <v>4</v>
      </c>
      <c r="H2" s="40">
        <f>AA45</f>
        <v>12.706</v>
      </c>
      <c r="I2" s="26"/>
      <c r="J2" s="19"/>
      <c r="K2" s="19"/>
      <c r="L2" s="19"/>
      <c r="M2" s="19"/>
      <c r="N2" s="19"/>
      <c r="O2" s="19"/>
      <c r="P2" s="19"/>
      <c r="Q2" s="19"/>
      <c r="R2" s="19"/>
      <c r="S2" s="19"/>
      <c r="Z2" s="4" t="s">
        <v>6</v>
      </c>
      <c r="AA2" s="4" t="s">
        <v>7</v>
      </c>
      <c r="AB2" s="4" t="s">
        <v>8</v>
      </c>
      <c r="AC2" s="4" t="s">
        <v>9</v>
      </c>
      <c r="AD2" s="4" t="s">
        <v>10</v>
      </c>
      <c r="AE2" s="4" t="s">
        <v>11</v>
      </c>
      <c r="AF2" s="4" t="s">
        <v>12</v>
      </c>
      <c r="AG2" s="4" t="s">
        <v>13</v>
      </c>
      <c r="AH2" s="4" t="s">
        <v>14</v>
      </c>
      <c r="AI2" s="4" t="s">
        <v>15</v>
      </c>
      <c r="AJ2" s="4" t="s">
        <v>16</v>
      </c>
      <c r="AK2" s="4" t="s">
        <v>17</v>
      </c>
      <c r="AL2" s="4" t="s">
        <v>18</v>
      </c>
      <c r="AM2" s="4" t="s">
        <v>19</v>
      </c>
      <c r="AN2" s="5" t="s">
        <v>20</v>
      </c>
      <c r="AP2" s="5" t="s">
        <v>21</v>
      </c>
      <c r="AQ2" s="5" t="s">
        <v>22</v>
      </c>
      <c r="AR2" s="5" t="s">
        <v>23</v>
      </c>
      <c r="DL2" s="6"/>
    </row>
    <row r="3" spans="1:42" ht="18.75" customHeight="1" thickBot="1">
      <c r="A3" s="41" t="s">
        <v>6</v>
      </c>
      <c r="B3" s="41" t="s">
        <v>80</v>
      </c>
      <c r="C3" s="42"/>
      <c r="D3" s="36"/>
      <c r="E3" s="43" t="s">
        <v>38</v>
      </c>
      <c r="F3" s="44" t="s">
        <v>39</v>
      </c>
      <c r="G3" s="45" t="s">
        <v>40</v>
      </c>
      <c r="H3" s="94" t="s">
        <v>77</v>
      </c>
      <c r="I3" s="27"/>
      <c r="J3" s="20"/>
      <c r="K3" s="20"/>
      <c r="L3" s="20"/>
      <c r="M3" s="20"/>
      <c r="N3" s="20"/>
      <c r="O3" s="20"/>
      <c r="P3" s="20"/>
      <c r="Q3" s="20"/>
      <c r="R3" s="20"/>
      <c r="S3" s="20"/>
      <c r="AN3" s="2">
        <f>-AJ26</f>
        <v>-14</v>
      </c>
      <c r="AO3" s="1" t="s">
        <v>24</v>
      </c>
      <c r="AP3" s="2">
        <f>SUM(AI4:AI23)/SUM(AB4:AB23)</f>
        <v>6.589513027195111</v>
      </c>
    </row>
    <row r="4" spans="1:44" ht="15.75" thickTop="1">
      <c r="A4" s="46">
        <v>7</v>
      </c>
      <c r="B4" s="47">
        <v>99</v>
      </c>
      <c r="C4" s="36"/>
      <c r="D4" s="36"/>
      <c r="E4" s="43" t="s">
        <v>42</v>
      </c>
      <c r="F4" s="48">
        <f>AA28</f>
        <v>0.8325065257105048</v>
      </c>
      <c r="G4" s="49">
        <f>AC28</f>
        <v>1</v>
      </c>
      <c r="H4" s="95">
        <f>AF28</f>
        <v>16.35914839182605</v>
      </c>
      <c r="I4" s="28"/>
      <c r="J4" s="21"/>
      <c r="K4" s="21"/>
      <c r="L4" s="21"/>
      <c r="M4" s="21"/>
      <c r="N4" s="21"/>
      <c r="O4" s="21"/>
      <c r="P4" s="21"/>
      <c r="Q4" s="21"/>
      <c r="R4" s="21"/>
      <c r="S4" s="21"/>
      <c r="Z4" s="6">
        <f aca="true" t="shared" si="0" ref="Z4:Z23">IF(OR(A4&lt;=0,B4&lt;=0),NA(),A4)</f>
        <v>7</v>
      </c>
      <c r="AA4" s="6">
        <f aca="true" t="shared" si="1" ref="AA4:AA23">IF(B4&lt;=0,NA(),B4)</f>
        <v>99</v>
      </c>
      <c r="AB4" s="6">
        <f aca="true" t="shared" si="2" ref="AB4:AB23">IF(B4&lt;=0,0,1)</f>
        <v>1</v>
      </c>
      <c r="AC4" s="6">
        <f aca="true" t="shared" si="3" ref="AC4:AC23">IF(AA4&gt;=50,100-AA4,AA4)</f>
        <v>1</v>
      </c>
      <c r="AD4" s="6">
        <f aca="true" t="shared" si="4" ref="AD4:AD23">SQRT(-2*LN(AC4/100))</f>
        <v>3.0348542587702925</v>
      </c>
      <c r="AE4" s="6">
        <f aca="true" t="shared" si="5" ref="AE4:AE23">(((0.010328*AD4+0.802853)*AD4)+2.515517)</f>
        <v>5.047183241578276</v>
      </c>
      <c r="AF4" s="6">
        <f aca="true" t="shared" si="6" ref="AF4:AF23">(((0.001308*AD4+0.189269)*AD4+1.432788)*AD4+1)</f>
        <v>7.128095944817551</v>
      </c>
      <c r="AG4" s="6">
        <f aca="true" t="shared" si="7" ref="AG4:AG23">AE4/AF4</f>
        <v>0.7080689262113268</v>
      </c>
      <c r="AH4" s="6">
        <f aca="true" t="shared" si="8" ref="AH4:AH23">AD4-AG4</f>
        <v>2.326785332558966</v>
      </c>
      <c r="AI4" s="6">
        <f aca="true" t="shared" si="9" ref="AI4:AI23">IF(ISNA(AH4),0,IF(AA4&gt;50,5+AH4,5-AH4))</f>
        <v>7.326785332558966</v>
      </c>
      <c r="AJ4" s="6">
        <f aca="true" t="shared" si="10" ref="AJ4:AJ23">IF(ISNA(Z4),0,Z4)</f>
        <v>7</v>
      </c>
      <c r="AK4" s="6">
        <f aca="true" t="shared" si="11" ref="AK4:AK23">IF(ISNA(Z4),0,+(Z4^2))</f>
        <v>49</v>
      </c>
      <c r="AL4" s="6">
        <f aca="true" t="shared" si="12" ref="AL4:AL23">IF(ISNA(Z4),0,+Z4*AI4)</f>
        <v>51.28749732791276</v>
      </c>
      <c r="AM4" s="6">
        <f aca="true" t="shared" si="13" ref="AM4:AM23">IF(AI4=0,0,(AI4-($AB$26/($AE$28+1)))^2)</f>
        <v>0.5435704522565334</v>
      </c>
      <c r="AN4" s="6">
        <f aca="true" t="shared" si="14" ref="AN4:AN23">IF(AJ4=0,0,(AJ4-AJ$26)^2)</f>
        <v>49</v>
      </c>
      <c r="AO4" s="1"/>
      <c r="AP4" s="2"/>
      <c r="AQ4" s="6">
        <f aca="true" t="shared" si="15" ref="AQ4:AQ23">IF(AJ4=0,0,5+AG$26+(AF$26*AJ4))</f>
        <v>7.23468995087981</v>
      </c>
      <c r="AR4" s="6">
        <f aca="true" t="shared" si="16" ref="AR4:AR23">IF(AQ4=0,0,((AI4-AQ4)^2)/AQ4)</f>
        <v>0.0011723459310924637</v>
      </c>
    </row>
    <row r="5" spans="1:44" ht="15">
      <c r="A5" s="51">
        <v>14</v>
      </c>
      <c r="B5" s="52">
        <v>92</v>
      </c>
      <c r="C5" s="53"/>
      <c r="D5" s="54" t="s">
        <v>74</v>
      </c>
      <c r="E5" s="43" t="s">
        <v>43</v>
      </c>
      <c r="F5" s="48">
        <f>AB28</f>
        <v>0.05088935595978039</v>
      </c>
      <c r="G5" s="49">
        <f>AD28</f>
        <v>1</v>
      </c>
      <c r="H5" s="55" t="s">
        <v>76</v>
      </c>
      <c r="I5" s="29"/>
      <c r="J5" s="22"/>
      <c r="K5" s="22"/>
      <c r="L5" s="22"/>
      <c r="M5" s="22"/>
      <c r="N5" s="22"/>
      <c r="O5" s="22"/>
      <c r="P5" s="22"/>
      <c r="Q5" s="22"/>
      <c r="R5" s="22"/>
      <c r="S5" s="22"/>
      <c r="Z5" s="6">
        <f t="shared" si="0"/>
        <v>14</v>
      </c>
      <c r="AA5" s="6">
        <f t="shared" si="1"/>
        <v>92</v>
      </c>
      <c r="AB5" s="6">
        <f t="shared" si="2"/>
        <v>1</v>
      </c>
      <c r="AC5" s="6">
        <f t="shared" si="3"/>
        <v>8</v>
      </c>
      <c r="AD5" s="6">
        <f t="shared" si="4"/>
        <v>2.247544724497493</v>
      </c>
      <c r="AE5" s="6">
        <f t="shared" si="5"/>
        <v>4.372136475573817</v>
      </c>
      <c r="AF5" s="6">
        <f t="shared" si="6"/>
        <v>5.191189596325984</v>
      </c>
      <c r="AG5" s="6">
        <f t="shared" si="7"/>
        <v>0.8422224606606848</v>
      </c>
      <c r="AH5" s="6">
        <f t="shared" si="8"/>
        <v>1.4053222638368084</v>
      </c>
      <c r="AI5" s="6">
        <f t="shared" si="9"/>
        <v>6.405322263836808</v>
      </c>
      <c r="AJ5" s="6">
        <f t="shared" si="10"/>
        <v>14</v>
      </c>
      <c r="AK5" s="6">
        <f t="shared" si="11"/>
        <v>196</v>
      </c>
      <c r="AL5" s="6">
        <f t="shared" si="12"/>
        <v>89.67451169371532</v>
      </c>
      <c r="AM5" s="6">
        <f t="shared" si="13"/>
        <v>0.033926237306514326</v>
      </c>
      <c r="AN5" s="6">
        <f t="shared" si="14"/>
        <v>0</v>
      </c>
      <c r="AQ5" s="6">
        <f t="shared" si="15"/>
        <v>6.58951302719511</v>
      </c>
      <c r="AR5" s="6">
        <f t="shared" si="16"/>
        <v>0.005148519650313982</v>
      </c>
    </row>
    <row r="6" spans="1:44" ht="15">
      <c r="A6" s="51">
        <v>21</v>
      </c>
      <c r="B6" s="52">
        <v>85</v>
      </c>
      <c r="C6" s="53"/>
      <c r="D6" s="54" t="s">
        <v>74</v>
      </c>
      <c r="E6" s="43" t="s">
        <v>41</v>
      </c>
      <c r="F6" s="48">
        <f>Z28</f>
        <v>0.8833958816702852</v>
      </c>
      <c r="G6" s="49">
        <f>AE28</f>
        <v>2</v>
      </c>
      <c r="H6" s="50">
        <f>F5/G5</f>
        <v>0.05088935595978039</v>
      </c>
      <c r="I6" s="30"/>
      <c r="J6" s="23"/>
      <c r="K6" s="23"/>
      <c r="L6" s="23"/>
      <c r="M6" s="23"/>
      <c r="N6" s="23"/>
      <c r="O6" s="23"/>
      <c r="P6" s="23"/>
      <c r="Q6" s="23"/>
      <c r="R6" s="23"/>
      <c r="S6" s="23"/>
      <c r="Z6" s="6">
        <f t="shared" si="0"/>
        <v>21</v>
      </c>
      <c r="AA6" s="6">
        <f t="shared" si="1"/>
        <v>85</v>
      </c>
      <c r="AB6" s="6">
        <f t="shared" si="2"/>
        <v>1</v>
      </c>
      <c r="AC6" s="6">
        <f t="shared" si="3"/>
        <v>15</v>
      </c>
      <c r="AD6" s="6">
        <f t="shared" si="4"/>
        <v>1.9478808920906234</v>
      </c>
      <c r="AE6" s="6">
        <f t="shared" si="5"/>
        <v>4.118565928265436</v>
      </c>
      <c r="AF6" s="6">
        <f t="shared" si="6"/>
        <v>4.518699444074032</v>
      </c>
      <c r="AG6" s="6">
        <f t="shared" si="7"/>
        <v>0.9114494069010624</v>
      </c>
      <c r="AH6" s="6">
        <f t="shared" si="8"/>
        <v>1.036431485189561</v>
      </c>
      <c r="AI6" s="6">
        <f t="shared" si="9"/>
        <v>6.036431485189561</v>
      </c>
      <c r="AJ6" s="6">
        <f t="shared" si="10"/>
        <v>21</v>
      </c>
      <c r="AK6" s="6">
        <f t="shared" si="11"/>
        <v>441</v>
      </c>
      <c r="AL6" s="6">
        <f t="shared" si="12"/>
        <v>126.76506118898078</v>
      </c>
      <c r="AM6" s="6">
        <f t="shared" si="13"/>
        <v>0.30589919210723737</v>
      </c>
      <c r="AN6" s="6">
        <f t="shared" si="14"/>
        <v>49</v>
      </c>
      <c r="AQ6" s="6">
        <f t="shared" si="15"/>
        <v>5.944336103510412</v>
      </c>
      <c r="AR6" s="6">
        <f t="shared" si="16"/>
        <v>0.0014268303775116973</v>
      </c>
    </row>
    <row r="7" spans="1:44" ht="15.75" thickBot="1">
      <c r="A7" s="51" t="s">
        <v>74</v>
      </c>
      <c r="B7" s="52" t="s">
        <v>74</v>
      </c>
      <c r="C7" s="53"/>
      <c r="D7" s="56" t="s">
        <v>74</v>
      </c>
      <c r="E7" s="57" t="s">
        <v>85</v>
      </c>
      <c r="F7" s="58">
        <f>F11</f>
        <v>2.8798668745645095</v>
      </c>
      <c r="G7" s="59">
        <f>F9</f>
        <v>-0.09216813195495704</v>
      </c>
      <c r="H7" s="60" t="s">
        <v>86</v>
      </c>
      <c r="I7" s="24"/>
      <c r="Z7" s="6" t="e">
        <f t="shared" si="0"/>
        <v>#N/A</v>
      </c>
      <c r="AA7" s="6" t="e">
        <f t="shared" si="1"/>
        <v>#N/A</v>
      </c>
      <c r="AB7" s="6">
        <f t="shared" si="2"/>
        <v>0</v>
      </c>
      <c r="AC7" s="6" t="e">
        <f t="shared" si="3"/>
        <v>#N/A</v>
      </c>
      <c r="AD7" s="6" t="e">
        <f t="shared" si="4"/>
        <v>#N/A</v>
      </c>
      <c r="AE7" s="6" t="e">
        <f t="shared" si="5"/>
        <v>#N/A</v>
      </c>
      <c r="AF7" s="6" t="e">
        <f t="shared" si="6"/>
        <v>#N/A</v>
      </c>
      <c r="AG7" s="6" t="e">
        <f t="shared" si="7"/>
        <v>#N/A</v>
      </c>
      <c r="AH7" s="6" t="e">
        <f t="shared" si="8"/>
        <v>#N/A</v>
      </c>
      <c r="AI7" s="6">
        <f t="shared" si="9"/>
        <v>0</v>
      </c>
      <c r="AJ7" s="6">
        <f t="shared" si="10"/>
        <v>0</v>
      </c>
      <c r="AK7" s="6">
        <f t="shared" si="11"/>
        <v>0</v>
      </c>
      <c r="AL7" s="6">
        <f t="shared" si="12"/>
        <v>0</v>
      </c>
      <c r="AM7" s="6">
        <f t="shared" si="13"/>
        <v>0</v>
      </c>
      <c r="AN7" s="6">
        <f t="shared" si="14"/>
        <v>0</v>
      </c>
      <c r="AQ7" s="6">
        <f t="shared" si="15"/>
        <v>0</v>
      </c>
      <c r="AR7" s="6">
        <f t="shared" si="16"/>
        <v>0</v>
      </c>
    </row>
    <row r="8" spans="1:44" ht="15">
      <c r="A8" s="51" t="s">
        <v>74</v>
      </c>
      <c r="B8" s="52" t="s">
        <v>74</v>
      </c>
      <c r="C8" s="53"/>
      <c r="D8" s="61"/>
      <c r="E8" s="62" t="s">
        <v>87</v>
      </c>
      <c r="F8" s="63">
        <f>AR24</f>
        <v>0.007747695958918143</v>
      </c>
      <c r="G8" s="61"/>
      <c r="H8" s="61"/>
      <c r="I8" s="31"/>
      <c r="J8" s="17"/>
      <c r="K8" s="17"/>
      <c r="L8" s="17"/>
      <c r="M8" s="17"/>
      <c r="N8" s="17"/>
      <c r="O8" s="17"/>
      <c r="P8" s="17"/>
      <c r="Q8" s="17"/>
      <c r="R8" s="17"/>
      <c r="S8" s="17"/>
      <c r="U8" s="16" t="s">
        <v>50</v>
      </c>
      <c r="V8" s="15"/>
      <c r="W8" s="14">
        <f>F9+H2*((F5/G5)^0.5)/(AN26^0.5)</f>
        <v>0.1973723483247311</v>
      </c>
      <c r="X8" s="14">
        <f>F9-H2*((F5/G5)^0.5)/(AN26^0.5)</f>
        <v>-0.3817086122346452</v>
      </c>
      <c r="Z8" s="6" t="e">
        <f t="shared" si="0"/>
        <v>#N/A</v>
      </c>
      <c r="AA8" s="6" t="e">
        <f t="shared" si="1"/>
        <v>#N/A</v>
      </c>
      <c r="AB8" s="6">
        <f t="shared" si="2"/>
        <v>0</v>
      </c>
      <c r="AC8" s="6" t="e">
        <f t="shared" si="3"/>
        <v>#N/A</v>
      </c>
      <c r="AD8" s="6" t="e">
        <f t="shared" si="4"/>
        <v>#N/A</v>
      </c>
      <c r="AE8" s="6" t="e">
        <f t="shared" si="5"/>
        <v>#N/A</v>
      </c>
      <c r="AF8" s="6" t="e">
        <f t="shared" si="6"/>
        <v>#N/A</v>
      </c>
      <c r="AG8" s="6" t="e">
        <f t="shared" si="7"/>
        <v>#N/A</v>
      </c>
      <c r="AH8" s="6" t="e">
        <f t="shared" si="8"/>
        <v>#N/A</v>
      </c>
      <c r="AI8" s="6">
        <f t="shared" si="9"/>
        <v>0</v>
      </c>
      <c r="AJ8" s="6">
        <f t="shared" si="10"/>
        <v>0</v>
      </c>
      <c r="AK8" s="6">
        <f t="shared" si="11"/>
        <v>0</v>
      </c>
      <c r="AL8" s="6">
        <f t="shared" si="12"/>
        <v>0</v>
      </c>
      <c r="AM8" s="6">
        <f t="shared" si="13"/>
        <v>0</v>
      </c>
      <c r="AN8" s="6">
        <f t="shared" si="14"/>
        <v>0</v>
      </c>
      <c r="AQ8" s="6">
        <f t="shared" si="15"/>
        <v>0</v>
      </c>
      <c r="AR8" s="6">
        <f t="shared" si="16"/>
        <v>0</v>
      </c>
    </row>
    <row r="9" spans="1:44" ht="15.75">
      <c r="A9" s="51" t="s">
        <v>74</v>
      </c>
      <c r="B9" s="52" t="s">
        <v>74</v>
      </c>
      <c r="C9" s="53"/>
      <c r="D9" s="64"/>
      <c r="E9" s="65" t="s">
        <v>88</v>
      </c>
      <c r="F9" s="66">
        <f>AF26</f>
        <v>-0.09216813195495704</v>
      </c>
      <c r="G9" s="67" t="s">
        <v>49</v>
      </c>
      <c r="H9" s="96">
        <f>F9-W8</f>
        <v>-0.28954048027968815</v>
      </c>
      <c r="I9" s="31"/>
      <c r="J9" s="17"/>
      <c r="K9" s="17"/>
      <c r="L9" s="17"/>
      <c r="M9" s="17"/>
      <c r="N9" s="17"/>
      <c r="O9" s="17"/>
      <c r="P9" s="17"/>
      <c r="Q9" s="17"/>
      <c r="R9" s="17"/>
      <c r="S9" s="17"/>
      <c r="U9" s="16" t="s">
        <v>51</v>
      </c>
      <c r="V9" s="15"/>
      <c r="W9" s="14">
        <f>AP3+F9*AN3+(H2*((F5/G5)^0.5)*((1/SUM(AB4:AB23))+(AN3)^2/AN26)^0.5)-5</f>
        <v>7.2582193481298205</v>
      </c>
      <c r="X9" s="14">
        <f>AP3+F9*AN3-(H2*((F5/G5)^0.5)*((1/SUM(AB4:AB23))+(AN3)^2/AN26)^0.5)-5</f>
        <v>-1.4984855990008024</v>
      </c>
      <c r="Z9" s="6" t="e">
        <f t="shared" si="0"/>
        <v>#N/A</v>
      </c>
      <c r="AA9" s="6" t="e">
        <f t="shared" si="1"/>
        <v>#N/A</v>
      </c>
      <c r="AB9" s="6">
        <f t="shared" si="2"/>
        <v>0</v>
      </c>
      <c r="AC9" s="6" t="e">
        <f t="shared" si="3"/>
        <v>#N/A</v>
      </c>
      <c r="AD9" s="6" t="e">
        <f t="shared" si="4"/>
        <v>#N/A</v>
      </c>
      <c r="AE9" s="6" t="e">
        <f t="shared" si="5"/>
        <v>#N/A</v>
      </c>
      <c r="AF9" s="6" t="e">
        <f t="shared" si="6"/>
        <v>#N/A</v>
      </c>
      <c r="AG9" s="6" t="e">
        <f t="shared" si="7"/>
        <v>#N/A</v>
      </c>
      <c r="AH9" s="6" t="e">
        <f t="shared" si="8"/>
        <v>#N/A</v>
      </c>
      <c r="AI9" s="6">
        <f t="shared" si="9"/>
        <v>0</v>
      </c>
      <c r="AJ9" s="6">
        <f t="shared" si="10"/>
        <v>0</v>
      </c>
      <c r="AK9" s="6">
        <f t="shared" si="11"/>
        <v>0</v>
      </c>
      <c r="AL9" s="6">
        <f t="shared" si="12"/>
        <v>0</v>
      </c>
      <c r="AM9" s="6">
        <f t="shared" si="13"/>
        <v>0</v>
      </c>
      <c r="AN9" s="6">
        <f t="shared" si="14"/>
        <v>0</v>
      </c>
      <c r="AQ9" s="6">
        <f t="shared" si="15"/>
        <v>0</v>
      </c>
      <c r="AR9" s="6">
        <f t="shared" si="16"/>
        <v>0</v>
      </c>
    </row>
    <row r="10" spans="1:44" ht="15.75">
      <c r="A10" s="51"/>
      <c r="B10" s="52"/>
      <c r="C10" s="53"/>
      <c r="D10" s="68" t="s">
        <v>89</v>
      </c>
      <c r="E10" s="62" t="s">
        <v>90</v>
      </c>
      <c r="F10" s="69">
        <f>AI26*100</f>
        <v>99.79651922592406</v>
      </c>
      <c r="G10" s="61"/>
      <c r="H10" s="70"/>
      <c r="I10" s="32"/>
      <c r="J10" s="18"/>
      <c r="K10" s="18"/>
      <c r="L10" s="18"/>
      <c r="M10" s="18"/>
      <c r="N10" s="18"/>
      <c r="O10" s="18"/>
      <c r="P10" s="18"/>
      <c r="Q10" s="18"/>
      <c r="R10" s="18"/>
      <c r="S10" s="18"/>
      <c r="U10" s="16" t="s">
        <v>52</v>
      </c>
      <c r="V10" s="15"/>
      <c r="W10" s="14">
        <f>100*AA42</f>
        <v>99.9999999995864</v>
      </c>
      <c r="X10" s="14">
        <f>100*AA43</f>
        <v>6.702262429036243</v>
      </c>
      <c r="Z10" s="6" t="e">
        <f t="shared" si="0"/>
        <v>#N/A</v>
      </c>
      <c r="AA10" s="6" t="e">
        <f t="shared" si="1"/>
        <v>#N/A</v>
      </c>
      <c r="AB10" s="6">
        <f t="shared" si="2"/>
        <v>0</v>
      </c>
      <c r="AC10" s="6" t="e">
        <f t="shared" si="3"/>
        <v>#N/A</v>
      </c>
      <c r="AD10" s="6" t="e">
        <f t="shared" si="4"/>
        <v>#N/A</v>
      </c>
      <c r="AE10" s="6" t="e">
        <f t="shared" si="5"/>
        <v>#N/A</v>
      </c>
      <c r="AF10" s="6" t="e">
        <f t="shared" si="6"/>
        <v>#N/A</v>
      </c>
      <c r="AG10" s="6" t="e">
        <f t="shared" si="7"/>
        <v>#N/A</v>
      </c>
      <c r="AH10" s="6" t="e">
        <f t="shared" si="8"/>
        <v>#N/A</v>
      </c>
      <c r="AI10" s="6">
        <f t="shared" si="9"/>
        <v>0</v>
      </c>
      <c r="AJ10" s="6">
        <f t="shared" si="10"/>
        <v>0</v>
      </c>
      <c r="AK10" s="6">
        <f t="shared" si="11"/>
        <v>0</v>
      </c>
      <c r="AL10" s="6">
        <f t="shared" si="12"/>
        <v>0</v>
      </c>
      <c r="AM10" s="6">
        <f t="shared" si="13"/>
        <v>0</v>
      </c>
      <c r="AN10" s="6">
        <f t="shared" si="14"/>
        <v>0</v>
      </c>
      <c r="AQ10" s="6">
        <f t="shared" si="15"/>
        <v>0</v>
      </c>
      <c r="AR10" s="6">
        <f t="shared" si="16"/>
        <v>0</v>
      </c>
    </row>
    <row r="11" spans="1:44" ht="15.75">
      <c r="A11" s="51"/>
      <c r="B11" s="52"/>
      <c r="C11" s="71" t="s">
        <v>74</v>
      </c>
      <c r="D11" s="72"/>
      <c r="E11" s="62" t="s">
        <v>91</v>
      </c>
      <c r="F11" s="63">
        <f>AG26</f>
        <v>2.8798668745645095</v>
      </c>
      <c r="G11" s="67" t="s">
        <v>49</v>
      </c>
      <c r="H11" s="97">
        <f>W9-F11</f>
        <v>4.378352473565311</v>
      </c>
      <c r="I11" s="32"/>
      <c r="J11" s="18"/>
      <c r="K11" s="18"/>
      <c r="L11" s="18"/>
      <c r="M11" s="18"/>
      <c r="N11" s="18"/>
      <c r="O11" s="18"/>
      <c r="P11" s="18"/>
      <c r="Q11" s="18"/>
      <c r="R11" s="18"/>
      <c r="S11" s="18"/>
      <c r="Z11" s="6" t="e">
        <f t="shared" si="0"/>
        <v>#N/A</v>
      </c>
      <c r="AA11" s="6" t="e">
        <f t="shared" si="1"/>
        <v>#N/A</v>
      </c>
      <c r="AB11" s="6">
        <f t="shared" si="2"/>
        <v>0</v>
      </c>
      <c r="AC11" s="6" t="e">
        <f t="shared" si="3"/>
        <v>#N/A</v>
      </c>
      <c r="AD11" s="6" t="e">
        <f t="shared" si="4"/>
        <v>#N/A</v>
      </c>
      <c r="AE11" s="6" t="e">
        <f t="shared" si="5"/>
        <v>#N/A</v>
      </c>
      <c r="AF11" s="6" t="e">
        <f t="shared" si="6"/>
        <v>#N/A</v>
      </c>
      <c r="AG11" s="6" t="e">
        <f t="shared" si="7"/>
        <v>#N/A</v>
      </c>
      <c r="AH11" s="6" t="e">
        <f t="shared" si="8"/>
        <v>#N/A</v>
      </c>
      <c r="AI11" s="6">
        <f t="shared" si="9"/>
        <v>0</v>
      </c>
      <c r="AJ11" s="6">
        <f t="shared" si="10"/>
        <v>0</v>
      </c>
      <c r="AK11" s="6">
        <f t="shared" si="11"/>
        <v>0</v>
      </c>
      <c r="AL11" s="6">
        <f t="shared" si="12"/>
        <v>0</v>
      </c>
      <c r="AM11" s="6">
        <f t="shared" si="13"/>
        <v>0</v>
      </c>
      <c r="AN11" s="6">
        <f t="shared" si="14"/>
        <v>0</v>
      </c>
      <c r="AQ11" s="6">
        <f t="shared" si="15"/>
        <v>0</v>
      </c>
      <c r="AR11" s="6">
        <f t="shared" si="16"/>
        <v>0</v>
      </c>
    </row>
    <row r="12" spans="1:44" ht="15.75">
      <c r="A12" s="51"/>
      <c r="B12" s="52"/>
      <c r="C12" s="71" t="s">
        <v>74</v>
      </c>
      <c r="D12" s="73"/>
      <c r="E12" s="74" t="s">
        <v>92</v>
      </c>
      <c r="F12" s="75" t="s">
        <v>74</v>
      </c>
      <c r="G12" s="76" t="s">
        <v>82</v>
      </c>
      <c r="H12" s="36"/>
      <c r="I12" s="24"/>
      <c r="Z12" s="6" t="e">
        <f t="shared" si="0"/>
        <v>#N/A</v>
      </c>
      <c r="AA12" s="6" t="e">
        <f t="shared" si="1"/>
        <v>#N/A</v>
      </c>
      <c r="AB12" s="6">
        <f t="shared" si="2"/>
        <v>0</v>
      </c>
      <c r="AC12" s="6" t="e">
        <f t="shared" si="3"/>
        <v>#N/A</v>
      </c>
      <c r="AD12" s="6" t="e">
        <f t="shared" si="4"/>
        <v>#N/A</v>
      </c>
      <c r="AE12" s="6" t="e">
        <f t="shared" si="5"/>
        <v>#N/A</v>
      </c>
      <c r="AF12" s="6" t="e">
        <f t="shared" si="6"/>
        <v>#N/A</v>
      </c>
      <c r="AG12" s="6" t="e">
        <f t="shared" si="7"/>
        <v>#N/A</v>
      </c>
      <c r="AH12" s="6" t="e">
        <f t="shared" si="8"/>
        <v>#N/A</v>
      </c>
      <c r="AI12" s="6">
        <f t="shared" si="9"/>
        <v>0</v>
      </c>
      <c r="AJ12" s="6">
        <f t="shared" si="10"/>
        <v>0</v>
      </c>
      <c r="AK12" s="6">
        <f t="shared" si="11"/>
        <v>0</v>
      </c>
      <c r="AL12" s="6">
        <f t="shared" si="12"/>
        <v>0</v>
      </c>
      <c r="AM12" s="6">
        <f t="shared" si="13"/>
        <v>0</v>
      </c>
      <c r="AN12" s="6">
        <f t="shared" si="14"/>
        <v>0</v>
      </c>
      <c r="AQ12" s="6">
        <f t="shared" si="15"/>
        <v>0</v>
      </c>
      <c r="AR12" s="6">
        <f t="shared" si="16"/>
        <v>0</v>
      </c>
    </row>
    <row r="13" spans="1:44" ht="15.75">
      <c r="A13" s="51"/>
      <c r="B13" s="77"/>
      <c r="C13" s="78" t="s">
        <v>74</v>
      </c>
      <c r="D13" s="73" t="s">
        <v>93</v>
      </c>
      <c r="E13" s="79" t="s">
        <v>94</v>
      </c>
      <c r="F13" s="80" t="s">
        <v>79</v>
      </c>
      <c r="G13" s="81" t="s">
        <v>81</v>
      </c>
      <c r="H13" s="36"/>
      <c r="I13" s="24"/>
      <c r="Z13" s="6" t="e">
        <f t="shared" si="0"/>
        <v>#N/A</v>
      </c>
      <c r="AA13" s="6" t="e">
        <f t="shared" si="1"/>
        <v>#N/A</v>
      </c>
      <c r="AB13" s="6">
        <f t="shared" si="2"/>
        <v>0</v>
      </c>
      <c r="AC13" s="6" t="e">
        <f t="shared" si="3"/>
        <v>#N/A</v>
      </c>
      <c r="AD13" s="6" t="e">
        <f t="shared" si="4"/>
        <v>#N/A</v>
      </c>
      <c r="AE13" s="6" t="e">
        <f t="shared" si="5"/>
        <v>#N/A</v>
      </c>
      <c r="AF13" s="6" t="e">
        <f t="shared" si="6"/>
        <v>#N/A</v>
      </c>
      <c r="AG13" s="6" t="e">
        <f t="shared" si="7"/>
        <v>#N/A</v>
      </c>
      <c r="AH13" s="6" t="e">
        <f t="shared" si="8"/>
        <v>#N/A</v>
      </c>
      <c r="AI13" s="6">
        <f t="shared" si="9"/>
        <v>0</v>
      </c>
      <c r="AJ13" s="6">
        <f t="shared" si="10"/>
        <v>0</v>
      </c>
      <c r="AK13" s="6">
        <f t="shared" si="11"/>
        <v>0</v>
      </c>
      <c r="AL13" s="6">
        <f t="shared" si="12"/>
        <v>0</v>
      </c>
      <c r="AM13" s="6">
        <f t="shared" si="13"/>
        <v>0</v>
      </c>
      <c r="AN13" s="6">
        <f t="shared" si="14"/>
        <v>0</v>
      </c>
      <c r="AQ13" s="6">
        <f t="shared" si="15"/>
        <v>0</v>
      </c>
      <c r="AR13" s="6">
        <f t="shared" si="16"/>
        <v>0</v>
      </c>
    </row>
    <row r="14" spans="1:44" ht="15.75">
      <c r="A14" s="51"/>
      <c r="B14" s="52"/>
      <c r="C14" s="82" t="s">
        <v>74</v>
      </c>
      <c r="D14" s="83" t="s">
        <v>75</v>
      </c>
      <c r="E14" s="51">
        <v>12</v>
      </c>
      <c r="F14" s="84">
        <f>IF(E14="","",+$F$11+$F$9*E14)</f>
        <v>1.773849291105025</v>
      </c>
      <c r="G14" s="85">
        <f>IF(E14="","",AI28*100)</f>
        <v>96.19179770605413</v>
      </c>
      <c r="H14" s="36"/>
      <c r="I14" s="24"/>
      <c r="Z14" s="6" t="e">
        <f t="shared" si="0"/>
        <v>#N/A</v>
      </c>
      <c r="AA14" s="6" t="e">
        <f t="shared" si="1"/>
        <v>#N/A</v>
      </c>
      <c r="AB14" s="6">
        <f t="shared" si="2"/>
        <v>0</v>
      </c>
      <c r="AC14" s="6" t="e">
        <f t="shared" si="3"/>
        <v>#N/A</v>
      </c>
      <c r="AD14" s="6" t="e">
        <f t="shared" si="4"/>
        <v>#N/A</v>
      </c>
      <c r="AE14" s="6" t="e">
        <f t="shared" si="5"/>
        <v>#N/A</v>
      </c>
      <c r="AF14" s="6" t="e">
        <f t="shared" si="6"/>
        <v>#N/A</v>
      </c>
      <c r="AG14" s="6" t="e">
        <f t="shared" si="7"/>
        <v>#N/A</v>
      </c>
      <c r="AH14" s="6" t="e">
        <f t="shared" si="8"/>
        <v>#N/A</v>
      </c>
      <c r="AI14" s="6">
        <f t="shared" si="9"/>
        <v>0</v>
      </c>
      <c r="AJ14" s="6">
        <f t="shared" si="10"/>
        <v>0</v>
      </c>
      <c r="AK14" s="6">
        <f t="shared" si="11"/>
        <v>0</v>
      </c>
      <c r="AL14" s="6">
        <f t="shared" si="12"/>
        <v>0</v>
      </c>
      <c r="AM14" s="6">
        <f t="shared" si="13"/>
        <v>0</v>
      </c>
      <c r="AN14" s="6">
        <f t="shared" si="14"/>
        <v>0</v>
      </c>
      <c r="AQ14" s="6">
        <f t="shared" si="15"/>
        <v>0</v>
      </c>
      <c r="AR14" s="6">
        <f t="shared" si="16"/>
        <v>0</v>
      </c>
    </row>
    <row r="15" spans="1:44" ht="15.75">
      <c r="A15" s="51"/>
      <c r="B15" s="52"/>
      <c r="C15" s="86"/>
      <c r="D15" s="87"/>
      <c r="E15" s="51"/>
      <c r="F15" s="84">
        <f aca="true" t="shared" si="17" ref="F15:F27">IF(E15="","",+$F$11+$F$9*E15)</f>
      </c>
      <c r="G15" s="85">
        <f aca="true" t="shared" si="18" ref="G15:G27">IF(E15="","",AI29*100)</f>
      </c>
      <c r="H15" s="36"/>
      <c r="I15" s="24"/>
      <c r="Z15" s="6" t="e">
        <f t="shared" si="0"/>
        <v>#N/A</v>
      </c>
      <c r="AA15" s="6" t="e">
        <f t="shared" si="1"/>
        <v>#N/A</v>
      </c>
      <c r="AB15" s="6">
        <f t="shared" si="2"/>
        <v>0</v>
      </c>
      <c r="AC15" s="6" t="e">
        <f t="shared" si="3"/>
        <v>#N/A</v>
      </c>
      <c r="AD15" s="6" t="e">
        <f t="shared" si="4"/>
        <v>#N/A</v>
      </c>
      <c r="AE15" s="6" t="e">
        <f t="shared" si="5"/>
        <v>#N/A</v>
      </c>
      <c r="AF15" s="6" t="e">
        <f t="shared" si="6"/>
        <v>#N/A</v>
      </c>
      <c r="AG15" s="6" t="e">
        <f t="shared" si="7"/>
        <v>#N/A</v>
      </c>
      <c r="AH15" s="6" t="e">
        <f t="shared" si="8"/>
        <v>#N/A</v>
      </c>
      <c r="AI15" s="6">
        <f t="shared" si="9"/>
        <v>0</v>
      </c>
      <c r="AJ15" s="6">
        <f t="shared" si="10"/>
        <v>0</v>
      </c>
      <c r="AK15" s="6">
        <f t="shared" si="11"/>
        <v>0</v>
      </c>
      <c r="AL15" s="6">
        <f t="shared" si="12"/>
        <v>0</v>
      </c>
      <c r="AM15" s="6">
        <f t="shared" si="13"/>
        <v>0</v>
      </c>
      <c r="AN15" s="6">
        <f t="shared" si="14"/>
        <v>0</v>
      </c>
      <c r="AQ15" s="6">
        <f t="shared" si="15"/>
        <v>0</v>
      </c>
      <c r="AR15" s="6">
        <f t="shared" si="16"/>
        <v>0</v>
      </c>
    </row>
    <row r="16" spans="1:44" ht="15.75">
      <c r="A16" s="51"/>
      <c r="B16" s="52"/>
      <c r="C16" s="53"/>
      <c r="D16" s="86"/>
      <c r="E16" s="51"/>
      <c r="F16" s="84">
        <f t="shared" si="17"/>
      </c>
      <c r="G16" s="85">
        <f t="shared" si="18"/>
      </c>
      <c r="H16" s="36"/>
      <c r="I16" s="24"/>
      <c r="Z16" s="6" t="e">
        <f t="shared" si="0"/>
        <v>#N/A</v>
      </c>
      <c r="AA16" s="6" t="e">
        <f t="shared" si="1"/>
        <v>#N/A</v>
      </c>
      <c r="AB16" s="6">
        <f t="shared" si="2"/>
        <v>0</v>
      </c>
      <c r="AC16" s="6" t="e">
        <f t="shared" si="3"/>
        <v>#N/A</v>
      </c>
      <c r="AD16" s="6" t="e">
        <f t="shared" si="4"/>
        <v>#N/A</v>
      </c>
      <c r="AE16" s="6" t="e">
        <f t="shared" si="5"/>
        <v>#N/A</v>
      </c>
      <c r="AF16" s="6" t="e">
        <f t="shared" si="6"/>
        <v>#N/A</v>
      </c>
      <c r="AG16" s="6" t="e">
        <f t="shared" si="7"/>
        <v>#N/A</v>
      </c>
      <c r="AH16" s="6" t="e">
        <f t="shared" si="8"/>
        <v>#N/A</v>
      </c>
      <c r="AI16" s="6">
        <f t="shared" si="9"/>
        <v>0</v>
      </c>
      <c r="AJ16" s="6">
        <f t="shared" si="10"/>
        <v>0</v>
      </c>
      <c r="AK16" s="6">
        <f t="shared" si="11"/>
        <v>0</v>
      </c>
      <c r="AL16" s="6">
        <f t="shared" si="12"/>
        <v>0</v>
      </c>
      <c r="AM16" s="6">
        <f t="shared" si="13"/>
        <v>0</v>
      </c>
      <c r="AN16" s="6">
        <f t="shared" si="14"/>
        <v>0</v>
      </c>
      <c r="AQ16" s="6">
        <f t="shared" si="15"/>
        <v>0</v>
      </c>
      <c r="AR16" s="6">
        <f t="shared" si="16"/>
        <v>0</v>
      </c>
    </row>
    <row r="17" spans="1:44" ht="15">
      <c r="A17" s="51"/>
      <c r="B17" s="52"/>
      <c r="C17" s="53"/>
      <c r="D17" s="87"/>
      <c r="E17" s="51"/>
      <c r="F17" s="84">
        <f t="shared" si="17"/>
      </c>
      <c r="G17" s="85">
        <f t="shared" si="18"/>
      </c>
      <c r="H17" s="36"/>
      <c r="I17" s="24"/>
      <c r="Z17" s="6" t="e">
        <f t="shared" si="0"/>
        <v>#N/A</v>
      </c>
      <c r="AA17" s="6" t="e">
        <f t="shared" si="1"/>
        <v>#N/A</v>
      </c>
      <c r="AB17" s="6">
        <f t="shared" si="2"/>
        <v>0</v>
      </c>
      <c r="AC17" s="6" t="e">
        <f t="shared" si="3"/>
        <v>#N/A</v>
      </c>
      <c r="AD17" s="6" t="e">
        <f t="shared" si="4"/>
        <v>#N/A</v>
      </c>
      <c r="AE17" s="6" t="e">
        <f t="shared" si="5"/>
        <v>#N/A</v>
      </c>
      <c r="AF17" s="6" t="e">
        <f t="shared" si="6"/>
        <v>#N/A</v>
      </c>
      <c r="AG17" s="6" t="e">
        <f t="shared" si="7"/>
        <v>#N/A</v>
      </c>
      <c r="AH17" s="6" t="e">
        <f t="shared" si="8"/>
        <v>#N/A</v>
      </c>
      <c r="AI17" s="6">
        <f t="shared" si="9"/>
        <v>0</v>
      </c>
      <c r="AJ17" s="6">
        <f t="shared" si="10"/>
        <v>0</v>
      </c>
      <c r="AK17" s="6">
        <f t="shared" si="11"/>
        <v>0</v>
      </c>
      <c r="AL17" s="6">
        <f t="shared" si="12"/>
        <v>0</v>
      </c>
      <c r="AM17" s="6">
        <f t="shared" si="13"/>
        <v>0</v>
      </c>
      <c r="AN17" s="6">
        <f t="shared" si="14"/>
        <v>0</v>
      </c>
      <c r="AQ17" s="6">
        <f t="shared" si="15"/>
        <v>0</v>
      </c>
      <c r="AR17" s="6">
        <f t="shared" si="16"/>
        <v>0</v>
      </c>
    </row>
    <row r="18" spans="1:44" ht="15">
      <c r="A18" s="51"/>
      <c r="B18" s="52"/>
      <c r="C18" s="53"/>
      <c r="D18" s="88"/>
      <c r="E18" s="51"/>
      <c r="F18" s="84">
        <f t="shared" si="17"/>
      </c>
      <c r="G18" s="85">
        <f t="shared" si="18"/>
      </c>
      <c r="H18" s="36"/>
      <c r="I18" s="24"/>
      <c r="Z18" s="6" t="e">
        <f t="shared" si="0"/>
        <v>#N/A</v>
      </c>
      <c r="AA18" s="6" t="e">
        <f t="shared" si="1"/>
        <v>#N/A</v>
      </c>
      <c r="AB18" s="6">
        <f t="shared" si="2"/>
        <v>0</v>
      </c>
      <c r="AC18" s="6" t="e">
        <f t="shared" si="3"/>
        <v>#N/A</v>
      </c>
      <c r="AD18" s="6" t="e">
        <f t="shared" si="4"/>
        <v>#N/A</v>
      </c>
      <c r="AE18" s="6" t="e">
        <f t="shared" si="5"/>
        <v>#N/A</v>
      </c>
      <c r="AF18" s="6" t="e">
        <f t="shared" si="6"/>
        <v>#N/A</v>
      </c>
      <c r="AG18" s="6" t="e">
        <f t="shared" si="7"/>
        <v>#N/A</v>
      </c>
      <c r="AH18" s="6" t="e">
        <f t="shared" si="8"/>
        <v>#N/A</v>
      </c>
      <c r="AI18" s="6">
        <f t="shared" si="9"/>
        <v>0</v>
      </c>
      <c r="AJ18" s="6">
        <f t="shared" si="10"/>
        <v>0</v>
      </c>
      <c r="AK18" s="6">
        <f t="shared" si="11"/>
        <v>0</v>
      </c>
      <c r="AL18" s="6">
        <f t="shared" si="12"/>
        <v>0</v>
      </c>
      <c r="AM18" s="6">
        <f t="shared" si="13"/>
        <v>0</v>
      </c>
      <c r="AN18" s="6">
        <f t="shared" si="14"/>
        <v>0</v>
      </c>
      <c r="AQ18" s="6">
        <f t="shared" si="15"/>
        <v>0</v>
      </c>
      <c r="AR18" s="6">
        <f t="shared" si="16"/>
        <v>0</v>
      </c>
    </row>
    <row r="19" spans="1:44" ht="15">
      <c r="A19" s="51"/>
      <c r="B19" s="52"/>
      <c r="C19" s="53"/>
      <c r="D19" s="88"/>
      <c r="E19" s="51"/>
      <c r="F19" s="84">
        <f t="shared" si="17"/>
      </c>
      <c r="G19" s="85">
        <f t="shared" si="18"/>
      </c>
      <c r="H19" s="36"/>
      <c r="I19" s="24"/>
      <c r="Z19" s="6" t="e">
        <f t="shared" si="0"/>
        <v>#N/A</v>
      </c>
      <c r="AA19" s="6" t="e">
        <f t="shared" si="1"/>
        <v>#N/A</v>
      </c>
      <c r="AB19" s="6">
        <f t="shared" si="2"/>
        <v>0</v>
      </c>
      <c r="AC19" s="6" t="e">
        <f t="shared" si="3"/>
        <v>#N/A</v>
      </c>
      <c r="AD19" s="6" t="e">
        <f t="shared" si="4"/>
        <v>#N/A</v>
      </c>
      <c r="AE19" s="6" t="e">
        <f t="shared" si="5"/>
        <v>#N/A</v>
      </c>
      <c r="AF19" s="6" t="e">
        <f t="shared" si="6"/>
        <v>#N/A</v>
      </c>
      <c r="AG19" s="6" t="e">
        <f t="shared" si="7"/>
        <v>#N/A</v>
      </c>
      <c r="AH19" s="6" t="e">
        <f t="shared" si="8"/>
        <v>#N/A</v>
      </c>
      <c r="AI19" s="6">
        <f t="shared" si="9"/>
        <v>0</v>
      </c>
      <c r="AJ19" s="6">
        <f t="shared" si="10"/>
        <v>0</v>
      </c>
      <c r="AK19" s="6">
        <f t="shared" si="11"/>
        <v>0</v>
      </c>
      <c r="AL19" s="6">
        <f t="shared" si="12"/>
        <v>0</v>
      </c>
      <c r="AM19" s="6">
        <f t="shared" si="13"/>
        <v>0</v>
      </c>
      <c r="AN19" s="6">
        <f t="shared" si="14"/>
        <v>0</v>
      </c>
      <c r="AQ19" s="6">
        <f t="shared" si="15"/>
        <v>0</v>
      </c>
      <c r="AR19" s="6">
        <f t="shared" si="16"/>
        <v>0</v>
      </c>
    </row>
    <row r="20" spans="1:44" ht="15">
      <c r="A20" s="51"/>
      <c r="B20" s="52"/>
      <c r="C20" s="53"/>
      <c r="D20" s="88"/>
      <c r="E20" s="51"/>
      <c r="F20" s="84">
        <f t="shared" si="17"/>
      </c>
      <c r="G20" s="85">
        <f t="shared" si="18"/>
      </c>
      <c r="H20" s="36"/>
      <c r="I20" s="24"/>
      <c r="Z20" s="6" t="e">
        <f t="shared" si="0"/>
        <v>#N/A</v>
      </c>
      <c r="AA20" s="6" t="e">
        <f t="shared" si="1"/>
        <v>#N/A</v>
      </c>
      <c r="AB20" s="6">
        <f t="shared" si="2"/>
        <v>0</v>
      </c>
      <c r="AC20" s="6" t="e">
        <f t="shared" si="3"/>
        <v>#N/A</v>
      </c>
      <c r="AD20" s="6" t="e">
        <f t="shared" si="4"/>
        <v>#N/A</v>
      </c>
      <c r="AE20" s="6" t="e">
        <f t="shared" si="5"/>
        <v>#N/A</v>
      </c>
      <c r="AF20" s="6" t="e">
        <f t="shared" si="6"/>
        <v>#N/A</v>
      </c>
      <c r="AG20" s="6" t="e">
        <f t="shared" si="7"/>
        <v>#N/A</v>
      </c>
      <c r="AH20" s="6" t="e">
        <f t="shared" si="8"/>
        <v>#N/A</v>
      </c>
      <c r="AI20" s="6">
        <f t="shared" si="9"/>
        <v>0</v>
      </c>
      <c r="AJ20" s="6">
        <f t="shared" si="10"/>
        <v>0</v>
      </c>
      <c r="AK20" s="6">
        <f t="shared" si="11"/>
        <v>0</v>
      </c>
      <c r="AL20" s="6">
        <f t="shared" si="12"/>
        <v>0</v>
      </c>
      <c r="AM20" s="6">
        <f t="shared" si="13"/>
        <v>0</v>
      </c>
      <c r="AN20" s="6">
        <f t="shared" si="14"/>
        <v>0</v>
      </c>
      <c r="AQ20" s="6">
        <f t="shared" si="15"/>
        <v>0</v>
      </c>
      <c r="AR20" s="6">
        <f t="shared" si="16"/>
        <v>0</v>
      </c>
    </row>
    <row r="21" spans="1:44" ht="15">
      <c r="A21" s="51"/>
      <c r="B21" s="52"/>
      <c r="C21" s="53"/>
      <c r="D21" s="88"/>
      <c r="E21" s="51"/>
      <c r="F21" s="84">
        <f t="shared" si="17"/>
      </c>
      <c r="G21" s="85">
        <f t="shared" si="18"/>
      </c>
      <c r="H21" s="36"/>
      <c r="I21" s="24"/>
      <c r="Z21" s="6" t="e">
        <f t="shared" si="0"/>
        <v>#N/A</v>
      </c>
      <c r="AA21" s="6" t="e">
        <f t="shared" si="1"/>
        <v>#N/A</v>
      </c>
      <c r="AB21" s="6">
        <f t="shared" si="2"/>
        <v>0</v>
      </c>
      <c r="AC21" s="6" t="e">
        <f t="shared" si="3"/>
        <v>#N/A</v>
      </c>
      <c r="AD21" s="6" t="e">
        <f t="shared" si="4"/>
        <v>#N/A</v>
      </c>
      <c r="AE21" s="6" t="e">
        <f t="shared" si="5"/>
        <v>#N/A</v>
      </c>
      <c r="AF21" s="6" t="e">
        <f t="shared" si="6"/>
        <v>#N/A</v>
      </c>
      <c r="AG21" s="6" t="e">
        <f t="shared" si="7"/>
        <v>#N/A</v>
      </c>
      <c r="AH21" s="6" t="e">
        <f t="shared" si="8"/>
        <v>#N/A</v>
      </c>
      <c r="AI21" s="6">
        <f t="shared" si="9"/>
        <v>0</v>
      </c>
      <c r="AJ21" s="6">
        <f t="shared" si="10"/>
        <v>0</v>
      </c>
      <c r="AK21" s="6">
        <f t="shared" si="11"/>
        <v>0</v>
      </c>
      <c r="AL21" s="6">
        <f t="shared" si="12"/>
        <v>0</v>
      </c>
      <c r="AM21" s="6">
        <f t="shared" si="13"/>
        <v>0</v>
      </c>
      <c r="AN21" s="6">
        <f t="shared" si="14"/>
        <v>0</v>
      </c>
      <c r="AQ21" s="6">
        <f t="shared" si="15"/>
        <v>0</v>
      </c>
      <c r="AR21" s="6">
        <f t="shared" si="16"/>
        <v>0</v>
      </c>
    </row>
    <row r="22" spans="1:44" ht="15">
      <c r="A22" s="51"/>
      <c r="B22" s="52"/>
      <c r="C22" s="53"/>
      <c r="D22" s="89"/>
      <c r="E22" s="51"/>
      <c r="F22" s="84">
        <f t="shared" si="17"/>
      </c>
      <c r="G22" s="85">
        <f t="shared" si="18"/>
      </c>
      <c r="H22" s="36"/>
      <c r="I22" s="24"/>
      <c r="Z22" s="6" t="e">
        <f t="shared" si="0"/>
        <v>#N/A</v>
      </c>
      <c r="AA22" s="6" t="e">
        <f t="shared" si="1"/>
        <v>#N/A</v>
      </c>
      <c r="AB22" s="6">
        <f t="shared" si="2"/>
        <v>0</v>
      </c>
      <c r="AC22" s="6" t="e">
        <f t="shared" si="3"/>
        <v>#N/A</v>
      </c>
      <c r="AD22" s="6" t="e">
        <f t="shared" si="4"/>
        <v>#N/A</v>
      </c>
      <c r="AE22" s="6" t="e">
        <f t="shared" si="5"/>
        <v>#N/A</v>
      </c>
      <c r="AF22" s="6" t="e">
        <f t="shared" si="6"/>
        <v>#N/A</v>
      </c>
      <c r="AG22" s="6" t="e">
        <f t="shared" si="7"/>
        <v>#N/A</v>
      </c>
      <c r="AH22" s="6" t="e">
        <f t="shared" si="8"/>
        <v>#N/A</v>
      </c>
      <c r="AI22" s="6">
        <f t="shared" si="9"/>
        <v>0</v>
      </c>
      <c r="AJ22" s="6">
        <f t="shared" si="10"/>
        <v>0</v>
      </c>
      <c r="AK22" s="6">
        <f t="shared" si="11"/>
        <v>0</v>
      </c>
      <c r="AL22" s="6">
        <f t="shared" si="12"/>
        <v>0</v>
      </c>
      <c r="AM22" s="6">
        <f t="shared" si="13"/>
        <v>0</v>
      </c>
      <c r="AN22" s="6">
        <f t="shared" si="14"/>
        <v>0</v>
      </c>
      <c r="AQ22" s="6">
        <f t="shared" si="15"/>
        <v>0</v>
      </c>
      <c r="AR22" s="6">
        <f t="shared" si="16"/>
        <v>0</v>
      </c>
    </row>
    <row r="23" spans="1:44" ht="15">
      <c r="A23" s="51"/>
      <c r="B23" s="52"/>
      <c r="C23" s="53"/>
      <c r="D23" s="36"/>
      <c r="E23" s="51"/>
      <c r="F23" s="84">
        <f t="shared" si="17"/>
      </c>
      <c r="G23" s="85">
        <f t="shared" si="18"/>
      </c>
      <c r="H23" s="36"/>
      <c r="I23" s="24"/>
      <c r="Z23" s="6" t="e">
        <f t="shared" si="0"/>
        <v>#N/A</v>
      </c>
      <c r="AA23" s="6" t="e">
        <f t="shared" si="1"/>
        <v>#N/A</v>
      </c>
      <c r="AB23" s="6">
        <f t="shared" si="2"/>
        <v>0</v>
      </c>
      <c r="AC23" s="6" t="e">
        <f t="shared" si="3"/>
        <v>#N/A</v>
      </c>
      <c r="AD23" s="6" t="e">
        <f t="shared" si="4"/>
        <v>#N/A</v>
      </c>
      <c r="AE23" s="6" t="e">
        <f t="shared" si="5"/>
        <v>#N/A</v>
      </c>
      <c r="AF23" s="6" t="e">
        <f t="shared" si="6"/>
        <v>#N/A</v>
      </c>
      <c r="AG23" s="6" t="e">
        <f t="shared" si="7"/>
        <v>#N/A</v>
      </c>
      <c r="AH23" s="6" t="e">
        <f t="shared" si="8"/>
        <v>#N/A</v>
      </c>
      <c r="AI23" s="6">
        <f t="shared" si="9"/>
        <v>0</v>
      </c>
      <c r="AJ23" s="6">
        <f t="shared" si="10"/>
        <v>0</v>
      </c>
      <c r="AK23" s="6">
        <f t="shared" si="11"/>
        <v>0</v>
      </c>
      <c r="AL23" s="6">
        <f t="shared" si="12"/>
        <v>0</v>
      </c>
      <c r="AM23" s="6">
        <f t="shared" si="13"/>
        <v>0</v>
      </c>
      <c r="AN23" s="6">
        <f t="shared" si="14"/>
        <v>0</v>
      </c>
      <c r="AQ23" s="6">
        <f t="shared" si="15"/>
        <v>0</v>
      </c>
      <c r="AR23" s="6">
        <f t="shared" si="16"/>
        <v>0</v>
      </c>
    </row>
    <row r="24" spans="1:44" ht="15">
      <c r="A24" s="89"/>
      <c r="B24" s="89"/>
      <c r="C24" s="89"/>
      <c r="D24" s="36"/>
      <c r="E24" s="51"/>
      <c r="F24" s="84">
        <f t="shared" si="17"/>
      </c>
      <c r="G24" s="85">
        <f t="shared" si="18"/>
      </c>
      <c r="H24" s="36"/>
      <c r="I24" s="24"/>
      <c r="Z24" s="7" t="s">
        <v>5</v>
      </c>
      <c r="AA24" s="7" t="s">
        <v>5</v>
      </c>
      <c r="AB24" s="7" t="s">
        <v>5</v>
      </c>
      <c r="AC24" s="7" t="s">
        <v>5</v>
      </c>
      <c r="AD24" s="7" t="s">
        <v>5</v>
      </c>
      <c r="AE24" s="7" t="s">
        <v>5</v>
      </c>
      <c r="AF24" s="7" t="s">
        <v>5</v>
      </c>
      <c r="AG24" s="7" t="s">
        <v>5</v>
      </c>
      <c r="AH24" s="7" t="s">
        <v>5</v>
      </c>
      <c r="AI24" s="7" t="s">
        <v>5</v>
      </c>
      <c r="AJ24" s="7" t="s">
        <v>5</v>
      </c>
      <c r="AK24" s="7" t="s">
        <v>5</v>
      </c>
      <c r="AL24" s="7" t="s">
        <v>5</v>
      </c>
      <c r="AM24" s="7" t="s">
        <v>5</v>
      </c>
      <c r="AP24" s="5" t="s">
        <v>25</v>
      </c>
      <c r="AR24" s="6">
        <f>SUM(AR4:AR23)</f>
        <v>0.007747695958918143</v>
      </c>
    </row>
    <row r="25" spans="1:40" ht="15">
      <c r="A25" s="36"/>
      <c r="B25" s="36"/>
      <c r="C25" s="36"/>
      <c r="D25" s="36"/>
      <c r="E25" s="51"/>
      <c r="F25" s="84">
        <f t="shared" si="17"/>
      </c>
      <c r="G25" s="85">
        <f t="shared" si="18"/>
      </c>
      <c r="H25" s="36"/>
      <c r="I25" s="24"/>
      <c r="Z25" s="4" t="s">
        <v>26</v>
      </c>
      <c r="AA25" s="4" t="s">
        <v>27</v>
      </c>
      <c r="AB25" s="4" t="s">
        <v>28</v>
      </c>
      <c r="AC25" s="4" t="s">
        <v>29</v>
      </c>
      <c r="AD25" s="4" t="s">
        <v>30</v>
      </c>
      <c r="AE25" s="4" t="s">
        <v>31</v>
      </c>
      <c r="AF25" s="4" t="s">
        <v>32</v>
      </c>
      <c r="AG25" s="4" t="s">
        <v>33</v>
      </c>
      <c r="AH25" s="4" t="s">
        <v>34</v>
      </c>
      <c r="AI25" s="4" t="s">
        <v>35</v>
      </c>
      <c r="AJ25" s="5" t="s">
        <v>36</v>
      </c>
      <c r="AN25" s="4" t="s">
        <v>37</v>
      </c>
    </row>
    <row r="26" spans="1:40" ht="15">
      <c r="A26" s="36"/>
      <c r="B26" s="36"/>
      <c r="C26" s="36"/>
      <c r="D26" s="36"/>
      <c r="E26" s="51"/>
      <c r="F26" s="84">
        <f t="shared" si="17"/>
      </c>
      <c r="G26" s="85">
        <f t="shared" si="18"/>
      </c>
      <c r="H26" s="36"/>
      <c r="I26" s="24"/>
      <c r="Z26" s="6">
        <f>SUM(AJ4:AJ23)</f>
        <v>42</v>
      </c>
      <c r="AA26" s="6">
        <f>SUM(AK2:AK23)</f>
        <v>686</v>
      </c>
      <c r="AB26" s="6">
        <f>SUM(AI4:AI23)</f>
        <v>19.768539081585335</v>
      </c>
      <c r="AC26" s="6">
        <f>SUM(AL4:AL23)</f>
        <v>267.7270702106089</v>
      </c>
      <c r="AD26" s="6">
        <f>AA26-(Z26^2/SUM(AB4:AB23))</f>
        <v>98</v>
      </c>
      <c r="AE26" s="6">
        <f>AC26-(Z26*AB26/SUM(AB4:AB24))</f>
        <v>-9.03247693158579</v>
      </c>
      <c r="AF26" s="6">
        <f>AE26/AD26</f>
        <v>-0.09216813195495704</v>
      </c>
      <c r="AG26" s="6">
        <f>(AB26/SUM(AB4:AB24)-AF26*(Z26/SUM(AB4:AB24)))-5</f>
        <v>2.8798668745645095</v>
      </c>
      <c r="AH26" s="6">
        <f>(((((0.000005383*ABS(AG26)+0.0000488906*ABS(AG26)+0.0000380036)*ABS(AG26)+0.003277626)*ABS(AG26)+0.02114101)*ABS(AG26)+0.04986735)*ABS(AG26)+1)^16</f>
        <v>245.72346074003636</v>
      </c>
      <c r="AI26" s="6">
        <f>IF(AG26&gt;=0,(1-0.5/AH26),1-(1-0.5/AH26))</f>
        <v>0.9979651922592406</v>
      </c>
      <c r="AJ26" s="6">
        <f>SUM(AJ4:AJ23)/SUM(AB4:AB23)</f>
        <v>14</v>
      </c>
      <c r="AN26" s="6">
        <f>SUM(AN4:AN23)</f>
        <v>98</v>
      </c>
    </row>
    <row r="27" spans="1:34" ht="15">
      <c r="A27" s="36"/>
      <c r="B27" s="36"/>
      <c r="C27" s="36"/>
      <c r="D27" s="36"/>
      <c r="E27" s="51"/>
      <c r="F27" s="84">
        <f t="shared" si="17"/>
      </c>
      <c r="G27" s="85">
        <f t="shared" si="18"/>
      </c>
      <c r="H27" s="36"/>
      <c r="I27" s="24"/>
      <c r="Z27" s="4" t="s">
        <v>41</v>
      </c>
      <c r="AA27" s="4" t="s">
        <v>42</v>
      </c>
      <c r="AB27" s="4" t="s">
        <v>43</v>
      </c>
      <c r="AC27" s="4" t="s">
        <v>44</v>
      </c>
      <c r="AD27" s="4" t="s">
        <v>45</v>
      </c>
      <c r="AE27" s="4" t="s">
        <v>46</v>
      </c>
      <c r="AF27" s="4" t="s">
        <v>47</v>
      </c>
      <c r="AH27" s="4" t="s">
        <v>48</v>
      </c>
    </row>
    <row r="28" spans="1:35" ht="15">
      <c r="A28" s="36"/>
      <c r="B28" s="36"/>
      <c r="C28" s="36"/>
      <c r="D28" s="36"/>
      <c r="E28" s="90"/>
      <c r="F28" s="36"/>
      <c r="G28" s="36"/>
      <c r="H28" s="36"/>
      <c r="I28" s="24"/>
      <c r="Z28" s="6">
        <f>SUM(AM4:AM23)</f>
        <v>0.8833958816702852</v>
      </c>
      <c r="AA28" s="6">
        <f>AE26^2/AD26</f>
        <v>0.8325065257105048</v>
      </c>
      <c r="AB28" s="6">
        <f>Z28-AA28</f>
        <v>0.05088935595978039</v>
      </c>
      <c r="AC28" s="6">
        <v>1</v>
      </c>
      <c r="AD28" s="6">
        <f>SUM(AB4:AB24)-2</f>
        <v>1</v>
      </c>
      <c r="AE28" s="6">
        <f>SUM(AB4:AB24)-1</f>
        <v>2</v>
      </c>
      <c r="AF28" s="6">
        <f>AA28/(AB28/AD28)</f>
        <v>16.35914839182605</v>
      </c>
      <c r="AH28" s="6">
        <f aca="true" t="shared" si="19" ref="AH28:AH41">(((((0.000005383*ABS(F14)+0.0000488906*ABS(F14)+0.0000380036)*ABS(F14)+0.003277626)*ABS(F14)+0.02114101)*ABS(F14)+0.04986735)*ABS(F14)+1)^16</f>
        <v>13.129554614125446</v>
      </c>
      <c r="AI28" s="6">
        <f aca="true" t="shared" si="20" ref="AI28:AI41">IF(F14&gt;=0,(1-0.5/AH28),1-(1-0.5/AH28))</f>
        <v>0.9619179770605414</v>
      </c>
    </row>
    <row r="29" spans="1:35" ht="15">
      <c r="A29" s="61"/>
      <c r="B29" s="61"/>
      <c r="C29" s="61"/>
      <c r="D29" s="61"/>
      <c r="E29" s="61"/>
      <c r="F29" s="61"/>
      <c r="G29" s="61"/>
      <c r="H29" s="61"/>
      <c r="AH29" s="6">
        <f t="shared" si="19"/>
        <v>1</v>
      </c>
      <c r="AI29" s="6">
        <f t="shared" si="20"/>
        <v>0.5</v>
      </c>
    </row>
    <row r="30" spans="1:35" ht="15">
      <c r="A30" s="61"/>
      <c r="B30" s="61"/>
      <c r="C30" s="61"/>
      <c r="D30" s="61"/>
      <c r="E30" s="61"/>
      <c r="F30" s="61"/>
      <c r="G30" s="61"/>
      <c r="H30" s="61"/>
      <c r="AH30" s="6">
        <f t="shared" si="19"/>
        <v>1</v>
      </c>
      <c r="AI30" s="6">
        <f t="shared" si="20"/>
        <v>0.5</v>
      </c>
    </row>
    <row r="31" spans="1:35" ht="15">
      <c r="A31" s="61"/>
      <c r="B31" s="61"/>
      <c r="C31" s="61"/>
      <c r="D31" s="61"/>
      <c r="E31" s="61"/>
      <c r="F31" s="61"/>
      <c r="G31" s="61"/>
      <c r="H31" s="61"/>
      <c r="AH31" s="6">
        <f t="shared" si="19"/>
        <v>1</v>
      </c>
      <c r="AI31" s="6">
        <f t="shared" si="20"/>
        <v>0.5</v>
      </c>
    </row>
    <row r="32" spans="1:35" ht="15">
      <c r="A32" s="61"/>
      <c r="B32" s="61"/>
      <c r="C32" s="61"/>
      <c r="D32" s="61"/>
      <c r="E32" s="61"/>
      <c r="F32" s="61"/>
      <c r="G32" s="61"/>
      <c r="H32" s="61"/>
      <c r="AH32" s="6">
        <f t="shared" si="19"/>
        <v>1</v>
      </c>
      <c r="AI32" s="6">
        <f t="shared" si="20"/>
        <v>0.5</v>
      </c>
    </row>
    <row r="33" spans="1:35" ht="15">
      <c r="A33" s="61"/>
      <c r="B33" s="61"/>
      <c r="C33" s="61"/>
      <c r="D33" s="61"/>
      <c r="E33" s="61"/>
      <c r="F33" s="91"/>
      <c r="G33" s="91"/>
      <c r="H33" s="61"/>
      <c r="AH33" s="6">
        <f t="shared" si="19"/>
        <v>1</v>
      </c>
      <c r="AI33" s="6">
        <f t="shared" si="20"/>
        <v>0.5</v>
      </c>
    </row>
    <row r="34" spans="1:35" ht="15">
      <c r="A34" s="61"/>
      <c r="B34" s="61"/>
      <c r="C34" s="61"/>
      <c r="D34" s="61"/>
      <c r="E34" s="61"/>
      <c r="F34" s="91"/>
      <c r="G34" s="91"/>
      <c r="H34" s="61"/>
      <c r="AH34" s="6">
        <f t="shared" si="19"/>
        <v>1</v>
      </c>
      <c r="AI34" s="6">
        <f t="shared" si="20"/>
        <v>0.5</v>
      </c>
    </row>
    <row r="35" spans="1:35" ht="15">
      <c r="A35" s="61"/>
      <c r="B35" s="61"/>
      <c r="C35" s="61"/>
      <c r="D35" s="61"/>
      <c r="E35" s="61"/>
      <c r="F35" s="61"/>
      <c r="G35" s="61"/>
      <c r="H35" s="61"/>
      <c r="T35" s="5" t="s">
        <v>73</v>
      </c>
      <c r="AH35" s="6">
        <f t="shared" si="19"/>
        <v>1</v>
      </c>
      <c r="AI35" s="6">
        <f t="shared" si="20"/>
        <v>0.5</v>
      </c>
    </row>
    <row r="36" spans="1:35" ht="15">
      <c r="A36" s="61"/>
      <c r="B36" s="61"/>
      <c r="C36" s="61"/>
      <c r="D36" s="61"/>
      <c r="E36" s="61"/>
      <c r="F36" s="61"/>
      <c r="G36" s="61"/>
      <c r="H36" s="61"/>
      <c r="AH36" s="6">
        <f t="shared" si="19"/>
        <v>1</v>
      </c>
      <c r="AI36" s="6">
        <f t="shared" si="20"/>
        <v>0.5</v>
      </c>
    </row>
    <row r="37" spans="1:35" ht="15">
      <c r="A37" s="61"/>
      <c r="B37" s="61"/>
      <c r="C37" s="61"/>
      <c r="D37" s="61"/>
      <c r="E37" s="61"/>
      <c r="F37" s="61"/>
      <c r="G37" s="61"/>
      <c r="H37" s="61"/>
      <c r="AH37" s="6">
        <f t="shared" si="19"/>
        <v>1</v>
      </c>
      <c r="AI37" s="6">
        <f t="shared" si="20"/>
        <v>0.5</v>
      </c>
    </row>
    <row r="38" spans="1:35" ht="15">
      <c r="A38" s="61"/>
      <c r="B38" s="61"/>
      <c r="C38" s="61"/>
      <c r="D38" s="61"/>
      <c r="E38" s="61"/>
      <c r="F38" s="61"/>
      <c r="G38" s="61"/>
      <c r="H38" s="61"/>
      <c r="AH38" s="6">
        <f t="shared" si="19"/>
        <v>1</v>
      </c>
      <c r="AI38" s="6">
        <f t="shared" si="20"/>
        <v>0.5</v>
      </c>
    </row>
    <row r="39" spans="1:35" ht="15">
      <c r="A39" s="61"/>
      <c r="B39" s="61"/>
      <c r="C39" s="61"/>
      <c r="D39" s="61"/>
      <c r="E39" s="61"/>
      <c r="F39" s="61"/>
      <c r="G39" s="61"/>
      <c r="H39" s="61"/>
      <c r="AH39" s="6">
        <f t="shared" si="19"/>
        <v>1</v>
      </c>
      <c r="AI39" s="6">
        <f t="shared" si="20"/>
        <v>0.5</v>
      </c>
    </row>
    <row r="40" spans="1:35" ht="15">
      <c r="A40" s="61"/>
      <c r="B40" s="61"/>
      <c r="C40" s="61"/>
      <c r="D40" s="61"/>
      <c r="E40" s="61"/>
      <c r="F40" s="61"/>
      <c r="G40" s="61"/>
      <c r="H40" s="61"/>
      <c r="AH40" s="6">
        <f t="shared" si="19"/>
        <v>1</v>
      </c>
      <c r="AI40" s="6">
        <f t="shared" si="20"/>
        <v>0.5</v>
      </c>
    </row>
    <row r="41" spans="1:35" ht="15">
      <c r="A41" s="61"/>
      <c r="B41" s="61"/>
      <c r="C41" s="61"/>
      <c r="D41" s="61"/>
      <c r="E41" s="92"/>
      <c r="F41" s="92"/>
      <c r="G41" s="92"/>
      <c r="H41" s="61"/>
      <c r="AH41" s="6">
        <f t="shared" si="19"/>
        <v>1</v>
      </c>
      <c r="AI41" s="6">
        <f t="shared" si="20"/>
        <v>0.5</v>
      </c>
    </row>
    <row r="42" spans="1:35" ht="15">
      <c r="A42" s="61"/>
      <c r="B42" s="61"/>
      <c r="C42" s="61"/>
      <c r="D42" s="61"/>
      <c r="E42" s="93"/>
      <c r="F42" s="93"/>
      <c r="G42" s="93"/>
      <c r="H42" s="61"/>
      <c r="Z42" s="6">
        <f>(((((0.000005383*ABS(W9)+0.0000488906*ABS(W9)+0.0000380036)*ABS(W9)+0.003277626)*ABS(W9)+0.02114101)*ABS(W9)+0.04986735)*ABS(W9)+1)^16</f>
        <v>120887226342.3312</v>
      </c>
      <c r="AA42" s="6">
        <f>IF(W9&gt;=0,(1-0.5/Z42),1-(1-0.5/Z42))</f>
        <v>0.9999999999958639</v>
      </c>
      <c r="AH42" s="6">
        <f>(((((0.000005383*ABS(A62)+0.0000488906*ABS(A62)+0.0000380036)*ABS(A62)+0.003277626)*ABS(A62)+0.02114101)*ABS(A62)+0.04986735)*ABS(A62)+1)^16</f>
        <v>1</v>
      </c>
      <c r="AI42" s="6">
        <f>IF(A62&gt;=0,(1-0.5/AH42),1-(1-0.5/AH42))</f>
        <v>0.5</v>
      </c>
    </row>
    <row r="43" spans="1:35" ht="15">
      <c r="A43" s="61"/>
      <c r="B43" s="61"/>
      <c r="C43" s="61"/>
      <c r="D43" s="61"/>
      <c r="E43" s="61"/>
      <c r="F43" s="61"/>
      <c r="G43" s="61"/>
      <c r="H43" s="61"/>
      <c r="Z43" s="6">
        <f>(((((0.000005383*ABS(X9)+0.0000488906*ABS(X9)+0.0000380036)*ABS(X9)+0.003277626)*ABS(X9)+0.02114101)*ABS(X9)+0.04986735)*ABS(X9)+1)^16</f>
        <v>7.460167447843392</v>
      </c>
      <c r="AA43" s="6">
        <f>IF(X9&gt;=0,(1-0.5/Z43),1-(1-0.5/Z43))</f>
        <v>0.06702262429036243</v>
      </c>
      <c r="AH43" s="6">
        <f>(((((0.000005383*ABS(A63)+0.0000488906*ABS(A63)+0.0000380036)*ABS(A63)+0.003277626)*ABS(A63)+0.02114101)*ABS(A63)+0.04986735)*ABS(A63)+1)^16</f>
        <v>1</v>
      </c>
      <c r="AI43" s="6">
        <f>IF(A63&gt;=0,(1-0.5/AH43),1-(1-0.5/AH43))</f>
        <v>0.5</v>
      </c>
    </row>
    <row r="44" spans="1:24" ht="15">
      <c r="A44" s="61"/>
      <c r="B44" s="61"/>
      <c r="C44" s="61"/>
      <c r="D44" s="61"/>
      <c r="E44" s="61"/>
      <c r="F44" s="61"/>
      <c r="G44" s="61"/>
      <c r="H44" s="61"/>
      <c r="X44" s="12" t="s">
        <v>3</v>
      </c>
    </row>
    <row r="45" spans="1:27" ht="15">
      <c r="A45" s="61"/>
      <c r="B45" s="61"/>
      <c r="C45" s="61"/>
      <c r="D45" s="61"/>
      <c r="E45" s="61"/>
      <c r="F45" s="61"/>
      <c r="G45" s="61"/>
      <c r="H45" s="61"/>
      <c r="AA45" s="6">
        <f>SUM(AA46:AA75)</f>
        <v>12.706</v>
      </c>
    </row>
    <row r="46" spans="1:29" ht="15">
      <c r="A46" s="61"/>
      <c r="B46" s="61"/>
      <c r="C46" s="61"/>
      <c r="D46" s="61"/>
      <c r="E46" s="61"/>
      <c r="F46" s="61"/>
      <c r="G46" s="61"/>
      <c r="H46" s="61"/>
      <c r="T46" s="7"/>
      <c r="U46" s="7"/>
      <c r="V46" s="7"/>
      <c r="W46" s="7"/>
      <c r="X46" s="7"/>
      <c r="AA46" s="6">
        <f aca="true" t="shared" si="21" ref="AA46:AA75">IF(AB46=$G$5,AC46,0)</f>
        <v>12.706</v>
      </c>
      <c r="AB46" s="6">
        <v>1</v>
      </c>
      <c r="AC46" s="6">
        <v>12.706</v>
      </c>
    </row>
    <row r="47" spans="1:29" ht="15">
      <c r="A47" s="61"/>
      <c r="B47" s="61"/>
      <c r="C47" s="61"/>
      <c r="D47" s="61"/>
      <c r="E47" s="93"/>
      <c r="F47" s="93"/>
      <c r="G47" s="93"/>
      <c r="H47" s="61"/>
      <c r="T47" s="5"/>
      <c r="AA47" s="6">
        <f t="shared" si="21"/>
        <v>0</v>
      </c>
      <c r="AB47" s="6">
        <v>2</v>
      </c>
      <c r="AC47" s="6">
        <v>4.303</v>
      </c>
    </row>
    <row r="48" spans="1:29" ht="15">
      <c r="A48" s="61"/>
      <c r="B48" s="61"/>
      <c r="C48" s="61"/>
      <c r="D48" s="61"/>
      <c r="E48" s="93"/>
      <c r="F48" s="93"/>
      <c r="G48" s="93"/>
      <c r="H48" s="61"/>
      <c r="T48" s="5"/>
      <c r="AA48" s="6">
        <f t="shared" si="21"/>
        <v>0</v>
      </c>
      <c r="AB48" s="6">
        <v>3</v>
      </c>
      <c r="AC48" s="6">
        <v>3.182</v>
      </c>
    </row>
    <row r="49" spans="1:29" ht="15">
      <c r="A49" s="61"/>
      <c r="B49" s="61"/>
      <c r="C49" s="61"/>
      <c r="D49" s="61"/>
      <c r="E49" s="93"/>
      <c r="F49" s="93"/>
      <c r="G49" s="93"/>
      <c r="H49" s="61"/>
      <c r="T49" s="7"/>
      <c r="U49" s="7"/>
      <c r="V49" s="7"/>
      <c r="W49" s="7"/>
      <c r="X49" s="7"/>
      <c r="AA49" s="6">
        <f t="shared" si="21"/>
        <v>0</v>
      </c>
      <c r="AB49" s="6">
        <v>4</v>
      </c>
      <c r="AC49" s="6">
        <v>2.776</v>
      </c>
    </row>
    <row r="50" spans="1:29" ht="15">
      <c r="A50" s="61"/>
      <c r="B50" s="61"/>
      <c r="C50" s="61"/>
      <c r="D50" s="61"/>
      <c r="E50" s="61"/>
      <c r="F50" s="61"/>
      <c r="G50" s="61"/>
      <c r="H50" s="61"/>
      <c r="T50" s="5"/>
      <c r="AA50" s="6">
        <f t="shared" si="21"/>
        <v>0</v>
      </c>
      <c r="AB50" s="6">
        <v>5</v>
      </c>
      <c r="AC50" s="6">
        <v>2.571</v>
      </c>
    </row>
    <row r="51" spans="1:29" ht="15">
      <c r="A51" s="61"/>
      <c r="B51" s="61"/>
      <c r="C51" s="61"/>
      <c r="D51" s="61"/>
      <c r="E51" s="93"/>
      <c r="F51" s="93"/>
      <c r="G51" s="93"/>
      <c r="H51" s="61"/>
      <c r="T51" s="5"/>
      <c r="AA51" s="6">
        <f t="shared" si="21"/>
        <v>0</v>
      </c>
      <c r="AB51" s="6">
        <v>6</v>
      </c>
      <c r="AC51" s="6">
        <v>2.447</v>
      </c>
    </row>
    <row r="52" spans="1:29" ht="15">
      <c r="A52" s="61"/>
      <c r="B52" s="61"/>
      <c r="C52" s="61"/>
      <c r="D52" s="61"/>
      <c r="E52" s="93"/>
      <c r="F52" s="93"/>
      <c r="G52" s="93"/>
      <c r="H52" s="61"/>
      <c r="T52" s="5"/>
      <c r="AA52" s="6">
        <f t="shared" si="21"/>
        <v>0</v>
      </c>
      <c r="AB52" s="6">
        <v>7</v>
      </c>
      <c r="AC52" s="6">
        <v>2.365</v>
      </c>
    </row>
    <row r="53" spans="1:29" ht="15">
      <c r="A53" s="61"/>
      <c r="B53" s="61"/>
      <c r="C53" s="61"/>
      <c r="D53" s="61"/>
      <c r="E53" s="93"/>
      <c r="F53" s="93"/>
      <c r="G53" s="93"/>
      <c r="H53" s="61"/>
      <c r="T53" s="5"/>
      <c r="AA53" s="6">
        <f t="shared" si="21"/>
        <v>0</v>
      </c>
      <c r="AB53" s="6">
        <v>8</v>
      </c>
      <c r="AC53" s="6">
        <v>2.306</v>
      </c>
    </row>
    <row r="54" spans="1:29" ht="15">
      <c r="A54" s="61"/>
      <c r="B54" s="61"/>
      <c r="C54" s="61"/>
      <c r="D54" s="61"/>
      <c r="E54" s="93"/>
      <c r="F54" s="93"/>
      <c r="G54" s="93"/>
      <c r="H54" s="61"/>
      <c r="T54" s="5"/>
      <c r="AA54" s="6">
        <f t="shared" si="21"/>
        <v>0</v>
      </c>
      <c r="AB54" s="6">
        <v>9</v>
      </c>
      <c r="AC54" s="6">
        <v>2.262</v>
      </c>
    </row>
    <row r="55" spans="1:29" ht="15">
      <c r="A55" s="61"/>
      <c r="B55" s="61"/>
      <c r="C55" s="61"/>
      <c r="D55" s="61"/>
      <c r="E55" s="93"/>
      <c r="F55" s="93"/>
      <c r="G55" s="93"/>
      <c r="H55" s="61"/>
      <c r="T55" s="5"/>
      <c r="AA55" s="6">
        <f t="shared" si="21"/>
        <v>0</v>
      </c>
      <c r="AB55" s="6">
        <v>10</v>
      </c>
      <c r="AC55" s="6">
        <v>2.228</v>
      </c>
    </row>
    <row r="56" spans="1:29" ht="15">
      <c r="A56" s="61"/>
      <c r="B56" s="61"/>
      <c r="C56" s="61"/>
      <c r="D56" s="61"/>
      <c r="E56" s="93"/>
      <c r="F56" s="93"/>
      <c r="G56" s="93"/>
      <c r="H56" s="61"/>
      <c r="T56" s="5"/>
      <c r="AA56" s="6">
        <f t="shared" si="21"/>
        <v>0</v>
      </c>
      <c r="AB56" s="6">
        <v>11</v>
      </c>
      <c r="AC56" s="6">
        <v>2.201</v>
      </c>
    </row>
    <row r="57" spans="1:29" ht="15">
      <c r="A57" s="61"/>
      <c r="B57" s="61"/>
      <c r="C57" s="61"/>
      <c r="D57" s="61"/>
      <c r="E57" s="93"/>
      <c r="F57" s="93"/>
      <c r="G57" s="93"/>
      <c r="H57" s="61"/>
      <c r="T57" s="5"/>
      <c r="AA57" s="6">
        <f t="shared" si="21"/>
        <v>0</v>
      </c>
      <c r="AB57" s="6">
        <v>12</v>
      </c>
      <c r="AC57" s="6">
        <v>2.179</v>
      </c>
    </row>
    <row r="58" spans="1:29" ht="15">
      <c r="A58" s="61"/>
      <c r="B58" s="61"/>
      <c r="C58" s="61"/>
      <c r="D58" s="61"/>
      <c r="E58" s="93"/>
      <c r="F58" s="93"/>
      <c r="G58" s="93"/>
      <c r="H58" s="61"/>
      <c r="T58" s="5"/>
      <c r="AA58" s="6">
        <f t="shared" si="21"/>
        <v>0</v>
      </c>
      <c r="AB58" s="6">
        <v>13</v>
      </c>
      <c r="AC58" s="6">
        <v>2.16</v>
      </c>
    </row>
    <row r="59" spans="1:29" ht="15">
      <c r="A59" s="61"/>
      <c r="B59" s="61"/>
      <c r="C59" s="61"/>
      <c r="D59" s="61"/>
      <c r="E59" s="93"/>
      <c r="F59" s="93"/>
      <c r="G59" s="93"/>
      <c r="H59" s="61"/>
      <c r="T59" s="5" t="s">
        <v>73</v>
      </c>
      <c r="AA59" s="6">
        <f t="shared" si="21"/>
        <v>0</v>
      </c>
      <c r="AB59" s="6">
        <v>14</v>
      </c>
      <c r="AC59" s="6">
        <v>2.145</v>
      </c>
    </row>
    <row r="60" spans="1:38" ht="15">
      <c r="A60" s="61"/>
      <c r="B60" s="61"/>
      <c r="C60" s="61"/>
      <c r="D60" s="61"/>
      <c r="E60" s="93"/>
      <c r="F60" s="93"/>
      <c r="G60" s="93"/>
      <c r="H60" s="61"/>
      <c r="T60" s="5" t="s">
        <v>73</v>
      </c>
      <c r="AA60" s="6">
        <f t="shared" si="21"/>
        <v>0</v>
      </c>
      <c r="AB60" s="6">
        <v>15</v>
      </c>
      <c r="AC60" s="6">
        <v>2.131</v>
      </c>
      <c r="AL60" s="6" t="e">
        <f>#REF!&amp;"   "&amp;#REF!</f>
        <v>#VALUE!</v>
      </c>
    </row>
    <row r="61" spans="1:29" ht="15">
      <c r="A61" s="61"/>
      <c r="B61" s="61"/>
      <c r="C61" s="61"/>
      <c r="D61" s="93"/>
      <c r="E61" s="93"/>
      <c r="F61" s="93"/>
      <c r="G61" s="93"/>
      <c r="H61" s="61"/>
      <c r="T61" s="5" t="s">
        <v>73</v>
      </c>
      <c r="AA61" s="6">
        <f t="shared" si="21"/>
        <v>0</v>
      </c>
      <c r="AB61" s="6">
        <v>16</v>
      </c>
      <c r="AC61" s="6">
        <v>2.12</v>
      </c>
    </row>
    <row r="62" spans="1:29" ht="15">
      <c r="A62" s="93"/>
      <c r="B62" s="93"/>
      <c r="C62" s="93"/>
      <c r="D62" s="93"/>
      <c r="E62" s="93"/>
      <c r="F62" s="93"/>
      <c r="G62" s="93"/>
      <c r="H62" s="61"/>
      <c r="T62" s="5" t="s">
        <v>73</v>
      </c>
      <c r="AA62" s="6">
        <f t="shared" si="21"/>
        <v>0</v>
      </c>
      <c r="AB62" s="6">
        <v>17</v>
      </c>
      <c r="AC62" s="6">
        <v>2.11</v>
      </c>
    </row>
    <row r="63" spans="1:29" ht="15">
      <c r="A63" s="93"/>
      <c r="B63" s="93"/>
      <c r="C63" s="93"/>
      <c r="D63" s="61"/>
      <c r="E63" s="61"/>
      <c r="F63" s="61"/>
      <c r="G63" s="61"/>
      <c r="H63" s="61"/>
      <c r="AA63" s="6">
        <f t="shared" si="21"/>
        <v>0</v>
      </c>
      <c r="AB63" s="6">
        <v>18</v>
      </c>
      <c r="AC63" s="6">
        <v>2.101</v>
      </c>
    </row>
    <row r="64" spans="1:44" ht="15">
      <c r="A64" s="61"/>
      <c r="B64" s="61"/>
      <c r="C64" s="61"/>
      <c r="D64" s="61"/>
      <c r="E64" s="61"/>
      <c r="F64" s="61"/>
      <c r="G64" s="61"/>
      <c r="H64" s="61"/>
      <c r="AA64" s="6">
        <f t="shared" si="21"/>
        <v>0</v>
      </c>
      <c r="AB64" s="6">
        <v>19</v>
      </c>
      <c r="AC64" s="6">
        <v>2.093</v>
      </c>
      <c r="AH64" s="4" t="s">
        <v>53</v>
      </c>
      <c r="AI64" s="5" t="s">
        <v>15</v>
      </c>
      <c r="AJ64" s="5" t="s">
        <v>54</v>
      </c>
      <c r="AK64" s="4" t="s">
        <v>55</v>
      </c>
      <c r="AL64" s="4" t="s">
        <v>56</v>
      </c>
      <c r="AM64" s="4" t="s">
        <v>57</v>
      </c>
      <c r="AP64" s="4" t="s">
        <v>58</v>
      </c>
      <c r="AQ64" s="4" t="s">
        <v>59</v>
      </c>
      <c r="AR64" s="5" t="s">
        <v>60</v>
      </c>
    </row>
    <row r="65" spans="1:54" ht="15">
      <c r="A65" s="61"/>
      <c r="B65" s="61"/>
      <c r="C65" s="61"/>
      <c r="D65" s="61"/>
      <c r="E65" s="61"/>
      <c r="F65" s="61"/>
      <c r="G65" s="61"/>
      <c r="H65" s="61"/>
      <c r="AA65" s="6">
        <f t="shared" si="21"/>
        <v>0</v>
      </c>
      <c r="AB65" s="6">
        <v>20</v>
      </c>
      <c r="AC65" s="6">
        <v>2.086</v>
      </c>
      <c r="AH65" s="6">
        <v>99.999</v>
      </c>
      <c r="AI65" s="6">
        <v>4.264844</v>
      </c>
      <c r="AJ65" s="6">
        <f>((AI65-$F$11)/$F$9)</f>
        <v>-15.026637689829004</v>
      </c>
      <c r="AK65" s="6">
        <f>IF(AJ65&lt;=0,0,AJ65)</f>
        <v>0</v>
      </c>
      <c r="AL65" s="6">
        <f>AK65</f>
        <v>0</v>
      </c>
      <c r="AM65" s="6">
        <f aca="true" t="shared" si="22" ref="AM65:AM96">$F$11+$F$9*AL65</f>
        <v>2.8798668745645095</v>
      </c>
      <c r="AN65" s="6">
        <f aca="true" t="shared" si="23" ref="AN65:AN96">(((((0.000005383*ABS(AM65)+0.0000488906*ABS(AM65)+0.0000380036)*ABS(AM65)+0.003277626)*ABS(AM65)+0.02114101)*ABS(AM65)+0.04986735)*ABS(AM65)+1)^16</f>
        <v>245.72346074003636</v>
      </c>
      <c r="AO65" s="6">
        <f aca="true" t="shared" si="24" ref="AO65:AO96">IF(AM65&gt;=0,(1-0.5/AN65),1-(1-0.5/AN65))</f>
        <v>0.9979651922592406</v>
      </c>
      <c r="AP65" s="10">
        <f aca="true" t="shared" si="25" ref="AP65:AP96">AO65*100</f>
        <v>99.79651922592406</v>
      </c>
      <c r="AQ65" s="6" t="e">
        <f aca="true" t="shared" si="26" ref="AQ65:AQ96">IF((AL65&lt;MAX($A$4:$A$23)),VLOOKUP(AL65,$A$4:$B$23,1),MAX($A$4:$A$23))</f>
        <v>#VALUE!</v>
      </c>
      <c r="AR65" s="11">
        <v>0</v>
      </c>
      <c r="AS65" s="6">
        <f aca="true" t="shared" si="27" ref="AS65:AS96">IF(ISERR(AQ65),10000000,AQ65)</f>
        <v>10000000</v>
      </c>
      <c r="AT65" s="6">
        <f>IF(ISERR(AQ65),"",AQ65)</f>
      </c>
      <c r="AU65" s="6">
        <f aca="true" t="shared" si="28" ref="AU65:AU96">IF(AT65&gt;=50,100-AT65,AT65)</f>
      </c>
      <c r="AV65" s="6" t="e">
        <f aca="true" t="shared" si="29" ref="AV65:AV96">SQRT(-2*LN(AU65/100))</f>
        <v>#NUM!</v>
      </c>
      <c r="AW65" s="6" t="e">
        <f aca="true" t="shared" si="30" ref="AW65:AW96">(((0.010328*AV65+0.802853)*AV65)+2.515517)</f>
        <v>#NUM!</v>
      </c>
      <c r="AX65" s="6" t="e">
        <f aca="true" t="shared" si="31" ref="AX65:AX96">(((0.001308*AV65+0.189269)*AV65+1.432788)*AV65+1)</f>
        <v>#NUM!</v>
      </c>
      <c r="AY65" s="6" t="e">
        <f aca="true" t="shared" si="32" ref="AY65:AY96">AW65/AX65</f>
        <v>#NUM!</v>
      </c>
      <c r="AZ65" s="6" t="e">
        <f aca="true" t="shared" si="33" ref="AZ65:AZ96">AV65-AY65</f>
        <v>#NUM!</v>
      </c>
      <c r="BA65" s="6" t="e">
        <f aca="true" t="shared" si="34" ref="BA65:BA96">IF(ISNA(AZ65),0,IF(AT65&gt;50,AZ65,-AZ65))</f>
        <v>#NUM!</v>
      </c>
      <c r="BB65" s="8">
        <f aca="true" t="shared" si="35" ref="BB65:BB96">IF(ISERR(BA65),"",BA65)</f>
      </c>
    </row>
    <row r="66" spans="1:54" ht="15">
      <c r="A66" s="61"/>
      <c r="B66" s="61"/>
      <c r="C66" s="61"/>
      <c r="D66" s="61"/>
      <c r="E66" s="61"/>
      <c r="F66" s="61"/>
      <c r="G66" s="61"/>
      <c r="H66" s="61"/>
      <c r="AA66" s="6">
        <f t="shared" si="21"/>
        <v>0</v>
      </c>
      <c r="AB66" s="6">
        <v>21</v>
      </c>
      <c r="AC66" s="6">
        <v>2.08</v>
      </c>
      <c r="AH66" s="6">
        <v>0.001</v>
      </c>
      <c r="AI66" s="6">
        <v>-4.264844</v>
      </c>
      <c r="AJ66" s="6">
        <f>((AI66-$F$11)/$F$9)</f>
        <v>77.51823458954512</v>
      </c>
      <c r="AK66" s="6">
        <f>IF(AJ66&lt;=0,0,AJ66)</f>
        <v>77.51823458954512</v>
      </c>
      <c r="AL66" s="6">
        <f aca="true" t="shared" si="36" ref="AL66:AL97">AL65+(($AK$66-$AK$65)/100)</f>
        <v>0.7751823458954512</v>
      </c>
      <c r="AM66" s="6">
        <f t="shared" si="22"/>
        <v>2.8084197658188645</v>
      </c>
      <c r="AN66" s="6">
        <f t="shared" si="23"/>
        <v>196.98458659612626</v>
      </c>
      <c r="AO66" s="6">
        <f t="shared" si="24"/>
        <v>0.9974617303381957</v>
      </c>
      <c r="AP66" s="10">
        <f t="shared" si="25"/>
        <v>99.74617303381957</v>
      </c>
      <c r="AQ66" s="6" t="e">
        <f t="shared" si="26"/>
        <v>#VALUE!</v>
      </c>
      <c r="AR66" s="11"/>
      <c r="AS66" s="6">
        <f t="shared" si="27"/>
        <v>10000000</v>
      </c>
      <c r="AT66" s="6">
        <f aca="true" t="shared" si="37" ref="AT66:AT97">IF(AS66=AS65,"",VLOOKUP(AS66,$A$4:$B$23,2))</f>
      </c>
      <c r="AU66" s="6">
        <f t="shared" si="28"/>
      </c>
      <c r="AV66" s="6" t="e">
        <f t="shared" si="29"/>
        <v>#NUM!</v>
      </c>
      <c r="AW66" s="6" t="e">
        <f t="shared" si="30"/>
        <v>#NUM!</v>
      </c>
      <c r="AX66" s="6" t="e">
        <f t="shared" si="31"/>
        <v>#NUM!</v>
      </c>
      <c r="AY66" s="6" t="e">
        <f t="shared" si="32"/>
        <v>#NUM!</v>
      </c>
      <c r="AZ66" s="6" t="e">
        <f t="shared" si="33"/>
        <v>#NUM!</v>
      </c>
      <c r="BA66" s="6" t="e">
        <f t="shared" si="34"/>
        <v>#NUM!</v>
      </c>
      <c r="BB66" s="8">
        <f t="shared" si="35"/>
      </c>
    </row>
    <row r="67" spans="1:54" ht="15">
      <c r="A67" s="61"/>
      <c r="B67" s="61"/>
      <c r="C67" s="61"/>
      <c r="D67" s="61"/>
      <c r="E67" s="61"/>
      <c r="F67" s="61"/>
      <c r="G67" s="61"/>
      <c r="H67" s="61"/>
      <c r="AA67" s="6">
        <f t="shared" si="21"/>
        <v>0</v>
      </c>
      <c r="AB67" s="6">
        <v>22</v>
      </c>
      <c r="AC67" s="6">
        <v>2.074</v>
      </c>
      <c r="AL67" s="6">
        <f t="shared" si="36"/>
        <v>1.5503646917909024</v>
      </c>
      <c r="AM67" s="6">
        <f t="shared" si="22"/>
        <v>2.736972657073219</v>
      </c>
      <c r="AN67" s="6">
        <f t="shared" si="23"/>
        <v>158.6017359981455</v>
      </c>
      <c r="AO67" s="6">
        <f t="shared" si="24"/>
        <v>0.9968474493872763</v>
      </c>
      <c r="AP67" s="10">
        <f t="shared" si="25"/>
        <v>99.68474493872763</v>
      </c>
      <c r="AQ67" s="6" t="e">
        <f t="shared" si="26"/>
        <v>#VALUE!</v>
      </c>
      <c r="AR67" s="11"/>
      <c r="AS67" s="6">
        <f t="shared" si="27"/>
        <v>10000000</v>
      </c>
      <c r="AT67" s="6">
        <f t="shared" si="37"/>
      </c>
      <c r="AU67" s="6">
        <f t="shared" si="28"/>
      </c>
      <c r="AV67" s="6" t="e">
        <f t="shared" si="29"/>
        <v>#NUM!</v>
      </c>
      <c r="AW67" s="6" t="e">
        <f t="shared" si="30"/>
        <v>#NUM!</v>
      </c>
      <c r="AX67" s="6" t="e">
        <f t="shared" si="31"/>
        <v>#NUM!</v>
      </c>
      <c r="AY67" s="6" t="e">
        <f t="shared" si="32"/>
        <v>#NUM!</v>
      </c>
      <c r="AZ67" s="6" t="e">
        <f t="shared" si="33"/>
        <v>#NUM!</v>
      </c>
      <c r="BA67" s="6" t="e">
        <f t="shared" si="34"/>
        <v>#NUM!</v>
      </c>
      <c r="BB67" s="8">
        <f t="shared" si="35"/>
      </c>
    </row>
    <row r="68" spans="1:54" ht="15">
      <c r="A68" s="61"/>
      <c r="B68" s="61"/>
      <c r="C68" s="61"/>
      <c r="D68" s="61"/>
      <c r="E68" s="61"/>
      <c r="F68" s="61"/>
      <c r="G68" s="61"/>
      <c r="H68" s="61"/>
      <c r="AA68" s="6">
        <f t="shared" si="21"/>
        <v>0</v>
      </c>
      <c r="AB68" s="6">
        <v>23</v>
      </c>
      <c r="AC68" s="6">
        <v>2.069</v>
      </c>
      <c r="AL68" s="6">
        <f t="shared" si="36"/>
        <v>2.325547037686354</v>
      </c>
      <c r="AM68" s="6">
        <f t="shared" si="22"/>
        <v>2.665525548327574</v>
      </c>
      <c r="AN68" s="6">
        <f t="shared" si="23"/>
        <v>128.25707007186824</v>
      </c>
      <c r="AO68" s="6">
        <f t="shared" si="24"/>
        <v>0.9961015794316849</v>
      </c>
      <c r="AP68" s="10">
        <f t="shared" si="25"/>
        <v>99.61015794316849</v>
      </c>
      <c r="AQ68" s="6" t="e">
        <f t="shared" si="26"/>
        <v>#VALUE!</v>
      </c>
      <c r="AR68" s="11"/>
      <c r="AS68" s="6">
        <f t="shared" si="27"/>
        <v>10000000</v>
      </c>
      <c r="AT68" s="6">
        <f t="shared" si="37"/>
      </c>
      <c r="AU68" s="6">
        <f t="shared" si="28"/>
      </c>
      <c r="AV68" s="6" t="e">
        <f t="shared" si="29"/>
        <v>#NUM!</v>
      </c>
      <c r="AW68" s="6" t="e">
        <f t="shared" si="30"/>
        <v>#NUM!</v>
      </c>
      <c r="AX68" s="6" t="e">
        <f t="shared" si="31"/>
        <v>#NUM!</v>
      </c>
      <c r="AY68" s="6" t="e">
        <f t="shared" si="32"/>
        <v>#NUM!</v>
      </c>
      <c r="AZ68" s="6" t="e">
        <f t="shared" si="33"/>
        <v>#NUM!</v>
      </c>
      <c r="BA68" s="6" t="e">
        <f t="shared" si="34"/>
        <v>#NUM!</v>
      </c>
      <c r="BB68" s="8">
        <f t="shared" si="35"/>
      </c>
    </row>
    <row r="69" spans="1:54" ht="15">
      <c r="A69" s="61"/>
      <c r="B69" s="61"/>
      <c r="C69" s="61"/>
      <c r="D69" s="61"/>
      <c r="E69" s="61"/>
      <c r="F69" s="61"/>
      <c r="G69" s="61"/>
      <c r="H69" s="61"/>
      <c r="AA69" s="6">
        <f t="shared" si="21"/>
        <v>0</v>
      </c>
      <c r="AB69" s="6">
        <v>24</v>
      </c>
      <c r="AC69" s="6">
        <v>2.064</v>
      </c>
      <c r="AL69" s="6">
        <f t="shared" si="36"/>
        <v>3.100729383581805</v>
      </c>
      <c r="AM69" s="6">
        <f t="shared" si="22"/>
        <v>2.594078439581929</v>
      </c>
      <c r="AN69" s="6">
        <f t="shared" si="23"/>
        <v>104.17392424509654</v>
      </c>
      <c r="AO69" s="6">
        <f t="shared" si="24"/>
        <v>0.995200334405915</v>
      </c>
      <c r="AP69" s="10">
        <f t="shared" si="25"/>
        <v>99.5200334405915</v>
      </c>
      <c r="AQ69" s="6" t="e">
        <f t="shared" si="26"/>
        <v>#VALUE!</v>
      </c>
      <c r="AR69" s="11"/>
      <c r="AS69" s="6">
        <f t="shared" si="27"/>
        <v>10000000</v>
      </c>
      <c r="AT69" s="6">
        <f t="shared" si="37"/>
      </c>
      <c r="AU69" s="6">
        <f t="shared" si="28"/>
      </c>
      <c r="AV69" s="6" t="e">
        <f t="shared" si="29"/>
        <v>#NUM!</v>
      </c>
      <c r="AW69" s="6" t="e">
        <f t="shared" si="30"/>
        <v>#NUM!</v>
      </c>
      <c r="AX69" s="6" t="e">
        <f t="shared" si="31"/>
        <v>#NUM!</v>
      </c>
      <c r="AY69" s="6" t="e">
        <f t="shared" si="32"/>
        <v>#NUM!</v>
      </c>
      <c r="AZ69" s="6" t="e">
        <f t="shared" si="33"/>
        <v>#NUM!</v>
      </c>
      <c r="BA69" s="6" t="e">
        <f t="shared" si="34"/>
        <v>#NUM!</v>
      </c>
      <c r="BB69" s="8">
        <f t="shared" si="35"/>
      </c>
    </row>
    <row r="70" spans="1:54" ht="15">
      <c r="A70" s="61"/>
      <c r="B70" s="61"/>
      <c r="C70" s="61"/>
      <c r="D70" s="61"/>
      <c r="E70" s="61"/>
      <c r="F70" s="61"/>
      <c r="G70" s="61"/>
      <c r="H70" s="61"/>
      <c r="AA70" s="6">
        <f t="shared" si="21"/>
        <v>0</v>
      </c>
      <c r="AB70" s="6">
        <v>25</v>
      </c>
      <c r="AC70" s="6">
        <v>2.06</v>
      </c>
      <c r="AL70" s="6">
        <f t="shared" si="36"/>
        <v>3.875911729477256</v>
      </c>
      <c r="AM70" s="6">
        <f t="shared" si="22"/>
        <v>2.522631330836284</v>
      </c>
      <c r="AN70" s="6">
        <f t="shared" si="23"/>
        <v>84.98587170952388</v>
      </c>
      <c r="AO70" s="6">
        <f t="shared" si="24"/>
        <v>0.9941166691599168</v>
      </c>
      <c r="AP70" s="10">
        <f t="shared" si="25"/>
        <v>99.41166691599167</v>
      </c>
      <c r="AQ70" s="6" t="e">
        <f t="shared" si="26"/>
        <v>#VALUE!</v>
      </c>
      <c r="AR70" s="11"/>
      <c r="AS70" s="6">
        <f t="shared" si="27"/>
        <v>10000000</v>
      </c>
      <c r="AT70" s="6">
        <f t="shared" si="37"/>
      </c>
      <c r="AU70" s="6">
        <f t="shared" si="28"/>
      </c>
      <c r="AV70" s="6" t="e">
        <f t="shared" si="29"/>
        <v>#NUM!</v>
      </c>
      <c r="AW70" s="6" t="e">
        <f t="shared" si="30"/>
        <v>#NUM!</v>
      </c>
      <c r="AX70" s="6" t="e">
        <f t="shared" si="31"/>
        <v>#NUM!</v>
      </c>
      <c r="AY70" s="6" t="e">
        <f t="shared" si="32"/>
        <v>#NUM!</v>
      </c>
      <c r="AZ70" s="6" t="e">
        <f t="shared" si="33"/>
        <v>#NUM!</v>
      </c>
      <c r="BA70" s="6" t="e">
        <f t="shared" si="34"/>
        <v>#NUM!</v>
      </c>
      <c r="BB70" s="8">
        <f t="shared" si="35"/>
      </c>
    </row>
    <row r="71" spans="1:54" ht="15">
      <c r="A71" s="61"/>
      <c r="B71" s="61"/>
      <c r="C71" s="61"/>
      <c r="D71" s="61"/>
      <c r="E71" s="61"/>
      <c r="F71" s="61"/>
      <c r="G71" s="61"/>
      <c r="H71" s="61"/>
      <c r="AA71" s="6">
        <f t="shared" si="21"/>
        <v>0</v>
      </c>
      <c r="AB71" s="6">
        <v>26</v>
      </c>
      <c r="AC71" s="6">
        <v>2.056</v>
      </c>
      <c r="AL71" s="6">
        <f t="shared" si="36"/>
        <v>4.651094075372707</v>
      </c>
      <c r="AM71" s="6">
        <f t="shared" si="22"/>
        <v>2.451184222090639</v>
      </c>
      <c r="AN71" s="6">
        <f t="shared" si="23"/>
        <v>69.6384547988887</v>
      </c>
      <c r="AO71" s="6">
        <f t="shared" si="24"/>
        <v>0.9928200589538644</v>
      </c>
      <c r="AP71" s="10">
        <f t="shared" si="25"/>
        <v>99.28200589538643</v>
      </c>
      <c r="AQ71" s="6" t="e">
        <f t="shared" si="26"/>
        <v>#VALUE!</v>
      </c>
      <c r="AR71" s="11"/>
      <c r="AS71" s="6">
        <f t="shared" si="27"/>
        <v>10000000</v>
      </c>
      <c r="AT71" s="6">
        <f t="shared" si="37"/>
      </c>
      <c r="AU71" s="6">
        <f t="shared" si="28"/>
      </c>
      <c r="AV71" s="6" t="e">
        <f t="shared" si="29"/>
        <v>#NUM!</v>
      </c>
      <c r="AW71" s="6" t="e">
        <f t="shared" si="30"/>
        <v>#NUM!</v>
      </c>
      <c r="AX71" s="6" t="e">
        <f t="shared" si="31"/>
        <v>#NUM!</v>
      </c>
      <c r="AY71" s="6" t="e">
        <f t="shared" si="32"/>
        <v>#NUM!</v>
      </c>
      <c r="AZ71" s="6" t="e">
        <f t="shared" si="33"/>
        <v>#NUM!</v>
      </c>
      <c r="BA71" s="6" t="e">
        <f t="shared" si="34"/>
        <v>#NUM!</v>
      </c>
      <c r="BB71" s="8">
        <f t="shared" si="35"/>
      </c>
    </row>
    <row r="72" spans="1:54" ht="15">
      <c r="A72" s="61"/>
      <c r="B72" s="61"/>
      <c r="C72" s="61"/>
      <c r="D72" s="61"/>
      <c r="E72" s="61"/>
      <c r="F72" s="61"/>
      <c r="G72" s="61"/>
      <c r="H72" s="61"/>
      <c r="AA72" s="6">
        <f t="shared" si="21"/>
        <v>0</v>
      </c>
      <c r="AB72" s="6">
        <v>27</v>
      </c>
      <c r="AC72" s="6">
        <v>2.052</v>
      </c>
      <c r="AL72" s="6">
        <f t="shared" si="36"/>
        <v>5.426276421268158</v>
      </c>
      <c r="AM72" s="6">
        <f t="shared" si="22"/>
        <v>2.379737113344994</v>
      </c>
      <c r="AN72" s="6">
        <f t="shared" si="23"/>
        <v>57.31521153796322</v>
      </c>
      <c r="AO72" s="6">
        <f t="shared" si="24"/>
        <v>0.9912763124032297</v>
      </c>
      <c r="AP72" s="10">
        <f t="shared" si="25"/>
        <v>99.12763124032297</v>
      </c>
      <c r="AQ72" s="6" t="e">
        <f t="shared" si="26"/>
        <v>#VALUE!</v>
      </c>
      <c r="AR72" s="11"/>
      <c r="AS72" s="6">
        <f t="shared" si="27"/>
        <v>10000000</v>
      </c>
      <c r="AT72" s="6">
        <f t="shared" si="37"/>
      </c>
      <c r="AU72" s="6">
        <f t="shared" si="28"/>
      </c>
      <c r="AV72" s="6" t="e">
        <f t="shared" si="29"/>
        <v>#NUM!</v>
      </c>
      <c r="AW72" s="6" t="e">
        <f t="shared" si="30"/>
        <v>#NUM!</v>
      </c>
      <c r="AX72" s="6" t="e">
        <f t="shared" si="31"/>
        <v>#NUM!</v>
      </c>
      <c r="AY72" s="6" t="e">
        <f t="shared" si="32"/>
        <v>#NUM!</v>
      </c>
      <c r="AZ72" s="6" t="e">
        <f t="shared" si="33"/>
        <v>#NUM!</v>
      </c>
      <c r="BA72" s="6" t="e">
        <f t="shared" si="34"/>
        <v>#NUM!</v>
      </c>
      <c r="BB72" s="8">
        <f t="shared" si="35"/>
      </c>
    </row>
    <row r="73" spans="1:54" ht="15">
      <c r="A73" s="61"/>
      <c r="B73" s="61"/>
      <c r="C73" s="61"/>
      <c r="D73" s="61"/>
      <c r="E73" s="61"/>
      <c r="F73" s="61"/>
      <c r="G73" s="61"/>
      <c r="H73" s="61"/>
      <c r="AA73" s="6">
        <f t="shared" si="21"/>
        <v>0</v>
      </c>
      <c r="AB73" s="6">
        <v>28</v>
      </c>
      <c r="AC73" s="6">
        <v>2.048</v>
      </c>
      <c r="AL73" s="6">
        <f t="shared" si="36"/>
        <v>6.201458767163609</v>
      </c>
      <c r="AM73" s="6">
        <f t="shared" si="22"/>
        <v>2.308290004599349</v>
      </c>
      <c r="AN73" s="6">
        <f t="shared" si="23"/>
        <v>47.38182236593258</v>
      </c>
      <c r="AO73" s="6">
        <f t="shared" si="24"/>
        <v>0.9894474299418357</v>
      </c>
      <c r="AP73" s="10">
        <f t="shared" si="25"/>
        <v>98.94474299418357</v>
      </c>
      <c r="AQ73" s="6" t="e">
        <f t="shared" si="26"/>
        <v>#VALUE!</v>
      </c>
      <c r="AR73" s="11"/>
      <c r="AS73" s="6">
        <f t="shared" si="27"/>
        <v>10000000</v>
      </c>
      <c r="AT73" s="6">
        <f t="shared" si="37"/>
      </c>
      <c r="AU73" s="6">
        <f t="shared" si="28"/>
      </c>
      <c r="AV73" s="6" t="e">
        <f t="shared" si="29"/>
        <v>#NUM!</v>
      </c>
      <c r="AW73" s="6" t="e">
        <f t="shared" si="30"/>
        <v>#NUM!</v>
      </c>
      <c r="AX73" s="6" t="e">
        <f t="shared" si="31"/>
        <v>#NUM!</v>
      </c>
      <c r="AY73" s="6" t="e">
        <f t="shared" si="32"/>
        <v>#NUM!</v>
      </c>
      <c r="AZ73" s="6" t="e">
        <f t="shared" si="33"/>
        <v>#NUM!</v>
      </c>
      <c r="BA73" s="6" t="e">
        <f t="shared" si="34"/>
        <v>#NUM!</v>
      </c>
      <c r="BB73" s="8">
        <f t="shared" si="35"/>
      </c>
    </row>
    <row r="74" spans="1:54" ht="15">
      <c r="A74" s="61"/>
      <c r="B74" s="61"/>
      <c r="C74" s="61"/>
      <c r="D74" s="61"/>
      <c r="E74" s="61"/>
      <c r="F74" s="61"/>
      <c r="G74" s="61"/>
      <c r="H74" s="61"/>
      <c r="AA74" s="6">
        <f t="shared" si="21"/>
        <v>0</v>
      </c>
      <c r="AB74" s="6">
        <v>29</v>
      </c>
      <c r="AC74" s="6">
        <v>2.045</v>
      </c>
      <c r="AL74" s="6">
        <f t="shared" si="36"/>
        <v>6.97664111305906</v>
      </c>
      <c r="AM74" s="6">
        <f t="shared" si="22"/>
        <v>2.2368428958537034</v>
      </c>
      <c r="AN74" s="6">
        <f t="shared" si="23"/>
        <v>39.343810447253446</v>
      </c>
      <c r="AO74" s="6">
        <f t="shared" si="24"/>
        <v>0.987291520716573</v>
      </c>
      <c r="AP74" s="10">
        <f t="shared" si="25"/>
        <v>98.7291520716573</v>
      </c>
      <c r="AQ74" s="6" t="e">
        <f t="shared" si="26"/>
        <v>#VALUE!</v>
      </c>
      <c r="AR74" s="11"/>
      <c r="AS74" s="6">
        <f t="shared" si="27"/>
        <v>10000000</v>
      </c>
      <c r="AT74" s="6">
        <f t="shared" si="37"/>
      </c>
      <c r="AU74" s="6">
        <f t="shared" si="28"/>
      </c>
      <c r="AV74" s="6" t="e">
        <f t="shared" si="29"/>
        <v>#NUM!</v>
      </c>
      <c r="AW74" s="6" t="e">
        <f t="shared" si="30"/>
        <v>#NUM!</v>
      </c>
      <c r="AX74" s="6" t="e">
        <f t="shared" si="31"/>
        <v>#NUM!</v>
      </c>
      <c r="AY74" s="6" t="e">
        <f t="shared" si="32"/>
        <v>#NUM!</v>
      </c>
      <c r="AZ74" s="6" t="e">
        <f t="shared" si="33"/>
        <v>#NUM!</v>
      </c>
      <c r="BA74" s="6" t="e">
        <f t="shared" si="34"/>
        <v>#NUM!</v>
      </c>
      <c r="BB74" s="8">
        <f t="shared" si="35"/>
      </c>
    </row>
    <row r="75" spans="1:54" ht="15">
      <c r="A75" s="61"/>
      <c r="B75" s="61"/>
      <c r="C75" s="61"/>
      <c r="D75" s="61"/>
      <c r="E75" s="61"/>
      <c r="F75" s="61"/>
      <c r="G75" s="61"/>
      <c r="H75" s="61"/>
      <c r="AA75" s="6">
        <f t="shared" si="21"/>
        <v>0</v>
      </c>
      <c r="AB75" s="6">
        <v>30</v>
      </c>
      <c r="AC75" s="6">
        <v>2.042</v>
      </c>
      <c r="AL75" s="6">
        <f t="shared" si="36"/>
        <v>7.751823458954511</v>
      </c>
      <c r="AM75" s="6">
        <f t="shared" si="22"/>
        <v>2.1653957871080585</v>
      </c>
      <c r="AN75" s="6">
        <f t="shared" si="23"/>
        <v>32.81440916180154</v>
      </c>
      <c r="AO75" s="6">
        <f t="shared" si="24"/>
        <v>0.9847627913233301</v>
      </c>
      <c r="AP75" s="10">
        <f t="shared" si="25"/>
        <v>98.476279132333</v>
      </c>
      <c r="AQ75" s="6">
        <f t="shared" si="26"/>
        <v>7</v>
      </c>
      <c r="AR75" s="11">
        <f>AR65+(($AK$66-$AK$65)/10)</f>
        <v>7.751823458954512</v>
      </c>
      <c r="AS75" s="6">
        <f t="shared" si="27"/>
        <v>7</v>
      </c>
      <c r="AT75" s="6">
        <f t="shared" si="37"/>
        <v>99</v>
      </c>
      <c r="AU75" s="6">
        <f t="shared" si="28"/>
        <v>1</v>
      </c>
      <c r="AV75" s="6">
        <f t="shared" si="29"/>
        <v>3.0348542587702925</v>
      </c>
      <c r="AW75" s="6">
        <f t="shared" si="30"/>
        <v>5.047183241578276</v>
      </c>
      <c r="AX75" s="6">
        <f t="shared" si="31"/>
        <v>7.128095944817551</v>
      </c>
      <c r="AY75" s="6">
        <f t="shared" si="32"/>
        <v>0.7080689262113268</v>
      </c>
      <c r="AZ75" s="6">
        <f t="shared" si="33"/>
        <v>2.326785332558966</v>
      </c>
      <c r="BA75" s="6">
        <f t="shared" si="34"/>
        <v>2.326785332558966</v>
      </c>
      <c r="BB75" s="8">
        <f t="shared" si="35"/>
        <v>2.326785332558966</v>
      </c>
    </row>
    <row r="76" spans="1:54" ht="15">
      <c r="A76" s="61"/>
      <c r="B76" s="61"/>
      <c r="C76" s="61"/>
      <c r="D76" s="61"/>
      <c r="E76" s="61"/>
      <c r="F76" s="61"/>
      <c r="G76" s="61"/>
      <c r="H76" s="61"/>
      <c r="AL76" s="6">
        <f t="shared" si="36"/>
        <v>8.527005804849962</v>
      </c>
      <c r="AM76" s="6">
        <f t="shared" si="22"/>
        <v>2.0939486783624135</v>
      </c>
      <c r="AN76" s="6">
        <f t="shared" si="23"/>
        <v>27.490078603810325</v>
      </c>
      <c r="AO76" s="6">
        <f t="shared" si="24"/>
        <v>0.9818116198499812</v>
      </c>
      <c r="AP76" s="10">
        <f t="shared" si="25"/>
        <v>98.18116198499813</v>
      </c>
      <c r="AQ76" s="6">
        <f t="shared" si="26"/>
        <v>7</v>
      </c>
      <c r="AR76" s="11"/>
      <c r="AS76" s="6">
        <f t="shared" si="27"/>
        <v>7</v>
      </c>
      <c r="AT76" s="6">
        <f t="shared" si="37"/>
      </c>
      <c r="AU76" s="6">
        <f t="shared" si="28"/>
      </c>
      <c r="AV76" s="6" t="e">
        <f t="shared" si="29"/>
        <v>#NUM!</v>
      </c>
      <c r="AW76" s="6" t="e">
        <f t="shared" si="30"/>
        <v>#NUM!</v>
      </c>
      <c r="AX76" s="6" t="e">
        <f t="shared" si="31"/>
        <v>#NUM!</v>
      </c>
      <c r="AY76" s="6" t="e">
        <f t="shared" si="32"/>
        <v>#NUM!</v>
      </c>
      <c r="AZ76" s="6" t="e">
        <f t="shared" si="33"/>
        <v>#NUM!</v>
      </c>
      <c r="BA76" s="6" t="e">
        <f t="shared" si="34"/>
        <v>#NUM!</v>
      </c>
      <c r="BB76" s="8">
        <f t="shared" si="35"/>
      </c>
    </row>
    <row r="77" spans="1:54" ht="15">
      <c r="A77" s="61"/>
      <c r="B77" s="61"/>
      <c r="C77" s="61"/>
      <c r="D77" s="61"/>
      <c r="E77" s="61"/>
      <c r="F77" s="61"/>
      <c r="G77" s="61"/>
      <c r="H77" s="61"/>
      <c r="AL77" s="6">
        <f t="shared" si="36"/>
        <v>9.302188150745414</v>
      </c>
      <c r="AM77" s="6">
        <f t="shared" si="22"/>
        <v>2.0225015696167685</v>
      </c>
      <c r="AN77" s="6">
        <f t="shared" si="23"/>
        <v>23.131793355000667</v>
      </c>
      <c r="AO77" s="6">
        <f t="shared" si="24"/>
        <v>0.9783847282254963</v>
      </c>
      <c r="AP77" s="10">
        <f t="shared" si="25"/>
        <v>97.83847282254963</v>
      </c>
      <c r="AQ77" s="6">
        <f t="shared" si="26"/>
        <v>7</v>
      </c>
      <c r="AR77" s="11"/>
      <c r="AS77" s="6">
        <f t="shared" si="27"/>
        <v>7</v>
      </c>
      <c r="AT77" s="6">
        <f t="shared" si="37"/>
      </c>
      <c r="AU77" s="6">
        <f t="shared" si="28"/>
      </c>
      <c r="AV77" s="6" t="e">
        <f t="shared" si="29"/>
        <v>#NUM!</v>
      </c>
      <c r="AW77" s="6" t="e">
        <f t="shared" si="30"/>
        <v>#NUM!</v>
      </c>
      <c r="AX77" s="6" t="e">
        <f t="shared" si="31"/>
        <v>#NUM!</v>
      </c>
      <c r="AY77" s="6" t="e">
        <f t="shared" si="32"/>
        <v>#NUM!</v>
      </c>
      <c r="AZ77" s="6" t="e">
        <f t="shared" si="33"/>
        <v>#NUM!</v>
      </c>
      <c r="BA77" s="6" t="e">
        <f t="shared" si="34"/>
        <v>#NUM!</v>
      </c>
      <c r="BB77" s="8">
        <f t="shared" si="35"/>
      </c>
    </row>
    <row r="78" spans="1:54" ht="15">
      <c r="A78" s="61"/>
      <c r="B78" s="61"/>
      <c r="C78" s="61"/>
      <c r="D78" s="61"/>
      <c r="E78" s="61"/>
      <c r="F78" s="61"/>
      <c r="G78" s="61"/>
      <c r="H78" s="61"/>
      <c r="AL78" s="6">
        <f t="shared" si="36"/>
        <v>10.077370496640865</v>
      </c>
      <c r="AM78" s="6">
        <f t="shared" si="22"/>
        <v>1.951054460871123</v>
      </c>
      <c r="AN78" s="6">
        <f t="shared" si="23"/>
        <v>19.550697455122226</v>
      </c>
      <c r="AO78" s="6">
        <f t="shared" si="24"/>
        <v>0.9744254648128167</v>
      </c>
      <c r="AP78" s="10">
        <f t="shared" si="25"/>
        <v>97.44254648128167</v>
      </c>
      <c r="AQ78" s="6">
        <f t="shared" si="26"/>
        <v>7</v>
      </c>
      <c r="AR78" s="11"/>
      <c r="AS78" s="6">
        <f t="shared" si="27"/>
        <v>7</v>
      </c>
      <c r="AT78" s="6">
        <f t="shared" si="37"/>
      </c>
      <c r="AU78" s="6">
        <f t="shared" si="28"/>
      </c>
      <c r="AV78" s="6" t="e">
        <f t="shared" si="29"/>
        <v>#NUM!</v>
      </c>
      <c r="AW78" s="6" t="e">
        <f t="shared" si="30"/>
        <v>#NUM!</v>
      </c>
      <c r="AX78" s="6" t="e">
        <f t="shared" si="31"/>
        <v>#NUM!</v>
      </c>
      <c r="AY78" s="6" t="e">
        <f t="shared" si="32"/>
        <v>#NUM!</v>
      </c>
      <c r="AZ78" s="6" t="e">
        <f t="shared" si="33"/>
        <v>#NUM!</v>
      </c>
      <c r="BA78" s="6" t="e">
        <f t="shared" si="34"/>
        <v>#NUM!</v>
      </c>
      <c r="BB78" s="8">
        <f t="shared" si="35"/>
      </c>
    </row>
    <row r="79" spans="1:54" ht="15">
      <c r="A79" s="61"/>
      <c r="B79" s="61"/>
      <c r="C79" s="61"/>
      <c r="D79" s="61"/>
      <c r="E79" s="61"/>
      <c r="F79" s="61"/>
      <c r="G79" s="61"/>
      <c r="H79" s="61"/>
      <c r="AL79" s="6">
        <f t="shared" si="36"/>
        <v>10.852552842536317</v>
      </c>
      <c r="AM79" s="6">
        <f t="shared" si="22"/>
        <v>1.8796073521254781</v>
      </c>
      <c r="AN79" s="6">
        <f t="shared" si="23"/>
        <v>16.597073738752112</v>
      </c>
      <c r="AO79" s="6">
        <f t="shared" si="24"/>
        <v>0.9698742074735403</v>
      </c>
      <c r="AP79" s="10">
        <f t="shared" si="25"/>
        <v>96.98742074735402</v>
      </c>
      <c r="AQ79" s="6">
        <f t="shared" si="26"/>
        <v>7</v>
      </c>
      <c r="AR79" s="11"/>
      <c r="AS79" s="6">
        <f t="shared" si="27"/>
        <v>7</v>
      </c>
      <c r="AT79" s="6">
        <f t="shared" si="37"/>
      </c>
      <c r="AU79" s="6">
        <f t="shared" si="28"/>
      </c>
      <c r="AV79" s="6" t="e">
        <f t="shared" si="29"/>
        <v>#NUM!</v>
      </c>
      <c r="AW79" s="6" t="e">
        <f t="shared" si="30"/>
        <v>#NUM!</v>
      </c>
      <c r="AX79" s="6" t="e">
        <f t="shared" si="31"/>
        <v>#NUM!</v>
      </c>
      <c r="AY79" s="6" t="e">
        <f t="shared" si="32"/>
        <v>#NUM!</v>
      </c>
      <c r="AZ79" s="6" t="e">
        <f t="shared" si="33"/>
        <v>#NUM!</v>
      </c>
      <c r="BA79" s="6" t="e">
        <f t="shared" si="34"/>
        <v>#NUM!</v>
      </c>
      <c r="BB79" s="8">
        <f t="shared" si="35"/>
      </c>
    </row>
    <row r="80" spans="1:54" ht="15">
      <c r="A80" s="61"/>
      <c r="B80" s="61"/>
      <c r="C80" s="61"/>
      <c r="D80" s="61"/>
      <c r="E80" s="61"/>
      <c r="F80" s="61"/>
      <c r="G80" s="61"/>
      <c r="H80" s="61"/>
      <c r="AL80" s="6">
        <f t="shared" si="36"/>
        <v>11.62773518843177</v>
      </c>
      <c r="AM80" s="6">
        <f t="shared" si="22"/>
        <v>1.808160243379833</v>
      </c>
      <c r="AN80" s="6">
        <f t="shared" si="23"/>
        <v>14.151835874536806</v>
      </c>
      <c r="AO80" s="6">
        <f t="shared" si="24"/>
        <v>0.9646688949453094</v>
      </c>
      <c r="AP80" s="10">
        <f t="shared" si="25"/>
        <v>96.46688949453093</v>
      </c>
      <c r="AQ80" s="6">
        <f t="shared" si="26"/>
        <v>7</v>
      </c>
      <c r="AR80" s="11"/>
      <c r="AS80" s="6">
        <f t="shared" si="27"/>
        <v>7</v>
      </c>
      <c r="AT80" s="6">
        <f t="shared" si="37"/>
      </c>
      <c r="AU80" s="6">
        <f t="shared" si="28"/>
      </c>
      <c r="AV80" s="6" t="e">
        <f t="shared" si="29"/>
        <v>#NUM!</v>
      </c>
      <c r="AW80" s="6" t="e">
        <f t="shared" si="30"/>
        <v>#NUM!</v>
      </c>
      <c r="AX80" s="6" t="e">
        <f t="shared" si="31"/>
        <v>#NUM!</v>
      </c>
      <c r="AY80" s="6" t="e">
        <f t="shared" si="32"/>
        <v>#NUM!</v>
      </c>
      <c r="AZ80" s="6" t="e">
        <f t="shared" si="33"/>
        <v>#NUM!</v>
      </c>
      <c r="BA80" s="6" t="e">
        <f t="shared" si="34"/>
        <v>#NUM!</v>
      </c>
      <c r="BB80" s="8">
        <f t="shared" si="35"/>
      </c>
    </row>
    <row r="81" spans="1:54" ht="15">
      <c r="A81" s="61"/>
      <c r="B81" s="61"/>
      <c r="C81" s="61"/>
      <c r="D81" s="61"/>
      <c r="E81" s="61"/>
      <c r="F81" s="61"/>
      <c r="G81" s="61"/>
      <c r="H81" s="61"/>
      <c r="AL81" s="6">
        <f t="shared" si="36"/>
        <v>12.402917534327221</v>
      </c>
      <c r="AM81" s="6">
        <f t="shared" si="22"/>
        <v>1.7367131346341877</v>
      </c>
      <c r="AN81" s="6">
        <f t="shared" si="23"/>
        <v>12.119946154915189</v>
      </c>
      <c r="AO81" s="6">
        <f t="shared" si="24"/>
        <v>0.9587456913084365</v>
      </c>
      <c r="AP81" s="10">
        <f t="shared" si="25"/>
        <v>95.87456913084364</v>
      </c>
      <c r="AQ81" s="6">
        <f t="shared" si="26"/>
        <v>7</v>
      </c>
      <c r="AR81" s="11"/>
      <c r="AS81" s="6">
        <f t="shared" si="27"/>
        <v>7</v>
      </c>
      <c r="AT81" s="6">
        <f t="shared" si="37"/>
      </c>
      <c r="AU81" s="6">
        <f t="shared" si="28"/>
      </c>
      <c r="AV81" s="6" t="e">
        <f t="shared" si="29"/>
        <v>#NUM!</v>
      </c>
      <c r="AW81" s="6" t="e">
        <f t="shared" si="30"/>
        <v>#NUM!</v>
      </c>
      <c r="AX81" s="6" t="e">
        <f t="shared" si="31"/>
        <v>#NUM!</v>
      </c>
      <c r="AY81" s="6" t="e">
        <f t="shared" si="32"/>
        <v>#NUM!</v>
      </c>
      <c r="AZ81" s="6" t="e">
        <f t="shared" si="33"/>
        <v>#NUM!</v>
      </c>
      <c r="BA81" s="6" t="e">
        <f t="shared" si="34"/>
        <v>#NUM!</v>
      </c>
      <c r="BB81" s="8">
        <f t="shared" si="35"/>
      </c>
    </row>
    <row r="82" spans="1:54" ht="15">
      <c r="A82" s="61"/>
      <c r="B82" s="61"/>
      <c r="C82" s="61"/>
      <c r="D82" s="61"/>
      <c r="E82" s="61"/>
      <c r="F82" s="61"/>
      <c r="G82" s="61"/>
      <c r="H82" s="61"/>
      <c r="AL82" s="6">
        <f t="shared" si="36"/>
        <v>13.178099880222673</v>
      </c>
      <c r="AM82" s="6">
        <f t="shared" si="22"/>
        <v>1.6652660258885426</v>
      </c>
      <c r="AN82" s="6">
        <f t="shared" si="23"/>
        <v>10.425307641936977</v>
      </c>
      <c r="AO82" s="6">
        <f t="shared" si="24"/>
        <v>0.9520397846113726</v>
      </c>
      <c r="AP82" s="10">
        <f t="shared" si="25"/>
        <v>95.20397846113727</v>
      </c>
      <c r="AQ82" s="6">
        <f t="shared" si="26"/>
        <v>7</v>
      </c>
      <c r="AR82" s="11"/>
      <c r="AS82" s="6">
        <f t="shared" si="27"/>
        <v>7</v>
      </c>
      <c r="AT82" s="6">
        <f t="shared" si="37"/>
      </c>
      <c r="AU82" s="6">
        <f t="shared" si="28"/>
      </c>
      <c r="AV82" s="6" t="e">
        <f t="shared" si="29"/>
        <v>#NUM!</v>
      </c>
      <c r="AW82" s="6" t="e">
        <f t="shared" si="30"/>
        <v>#NUM!</v>
      </c>
      <c r="AX82" s="6" t="e">
        <f t="shared" si="31"/>
        <v>#NUM!</v>
      </c>
      <c r="AY82" s="6" t="e">
        <f t="shared" si="32"/>
        <v>#NUM!</v>
      </c>
      <c r="AZ82" s="6" t="e">
        <f t="shared" si="33"/>
        <v>#NUM!</v>
      </c>
      <c r="BA82" s="6" t="e">
        <f t="shared" si="34"/>
        <v>#NUM!</v>
      </c>
      <c r="BB82" s="8">
        <f t="shared" si="35"/>
      </c>
    </row>
    <row r="83" spans="1:54" ht="15">
      <c r="A83" s="61"/>
      <c r="B83" s="61"/>
      <c r="C83" s="61"/>
      <c r="D83" s="61"/>
      <c r="E83" s="61"/>
      <c r="F83" s="61"/>
      <c r="G83" s="61"/>
      <c r="H83" s="61"/>
      <c r="AL83" s="6">
        <f t="shared" si="36"/>
        <v>13.953282226118125</v>
      </c>
      <c r="AM83" s="6">
        <f t="shared" si="22"/>
        <v>1.5938189171428974</v>
      </c>
      <c r="AN83" s="6">
        <f t="shared" si="23"/>
        <v>9.006788380813498</v>
      </c>
      <c r="AO83" s="6">
        <f t="shared" si="24"/>
        <v>0.9444863164471463</v>
      </c>
      <c r="AP83" s="10">
        <f t="shared" si="25"/>
        <v>94.44863164471464</v>
      </c>
      <c r="AQ83" s="6">
        <f t="shared" si="26"/>
        <v>7</v>
      </c>
      <c r="AR83" s="11"/>
      <c r="AS83" s="6">
        <f t="shared" si="27"/>
        <v>7</v>
      </c>
      <c r="AT83" s="6">
        <f t="shared" si="37"/>
      </c>
      <c r="AU83" s="6">
        <f t="shared" si="28"/>
      </c>
      <c r="AV83" s="6" t="e">
        <f t="shared" si="29"/>
        <v>#NUM!</v>
      </c>
      <c r="AW83" s="6" t="e">
        <f t="shared" si="30"/>
        <v>#NUM!</v>
      </c>
      <c r="AX83" s="6" t="e">
        <f t="shared" si="31"/>
        <v>#NUM!</v>
      </c>
      <c r="AY83" s="6" t="e">
        <f t="shared" si="32"/>
        <v>#NUM!</v>
      </c>
      <c r="AZ83" s="6" t="e">
        <f t="shared" si="33"/>
        <v>#NUM!</v>
      </c>
      <c r="BA83" s="6" t="e">
        <f t="shared" si="34"/>
        <v>#NUM!</v>
      </c>
      <c r="BB83" s="8">
        <f t="shared" si="35"/>
      </c>
    </row>
    <row r="84" spans="1:54" ht="15">
      <c r="A84" s="61"/>
      <c r="B84" s="61"/>
      <c r="C84" s="61"/>
      <c r="D84" s="61"/>
      <c r="E84" s="61"/>
      <c r="F84" s="61"/>
      <c r="G84" s="61"/>
      <c r="H84" s="61"/>
      <c r="AL84" s="6">
        <f t="shared" si="36"/>
        <v>14.728464572013577</v>
      </c>
      <c r="AM84" s="6">
        <f t="shared" si="22"/>
        <v>1.5223718083972522</v>
      </c>
      <c r="AN84" s="6">
        <f t="shared" si="23"/>
        <v>7.815117397055555</v>
      </c>
      <c r="AO84" s="6">
        <f t="shared" si="24"/>
        <v>0.9360214345355348</v>
      </c>
      <c r="AP84" s="10">
        <f t="shared" si="25"/>
        <v>93.60214345355348</v>
      </c>
      <c r="AQ84" s="6">
        <f t="shared" si="26"/>
        <v>14</v>
      </c>
      <c r="AR84" s="11"/>
      <c r="AS84" s="6">
        <f t="shared" si="27"/>
        <v>14</v>
      </c>
      <c r="AT84" s="6">
        <f t="shared" si="37"/>
        <v>92</v>
      </c>
      <c r="AU84" s="6">
        <f t="shared" si="28"/>
        <v>8</v>
      </c>
      <c r="AV84" s="6">
        <f t="shared" si="29"/>
        <v>2.247544724497493</v>
      </c>
      <c r="AW84" s="6">
        <f t="shared" si="30"/>
        <v>4.372136475573817</v>
      </c>
      <c r="AX84" s="6">
        <f t="shared" si="31"/>
        <v>5.191189596325984</v>
      </c>
      <c r="AY84" s="6">
        <f t="shared" si="32"/>
        <v>0.8422224606606848</v>
      </c>
      <c r="AZ84" s="6">
        <f t="shared" si="33"/>
        <v>1.4053222638368084</v>
      </c>
      <c r="BA84" s="6">
        <f t="shared" si="34"/>
        <v>1.4053222638368084</v>
      </c>
      <c r="BB84" s="8">
        <f t="shared" si="35"/>
        <v>1.4053222638368084</v>
      </c>
    </row>
    <row r="85" spans="1:54" ht="15">
      <c r="A85" s="61"/>
      <c r="B85" s="61"/>
      <c r="C85" s="61"/>
      <c r="D85" s="61"/>
      <c r="E85" s="61"/>
      <c r="F85" s="61"/>
      <c r="G85" s="61"/>
      <c r="H85" s="61"/>
      <c r="AL85" s="6">
        <f t="shared" si="36"/>
        <v>15.503646917909029</v>
      </c>
      <c r="AM85" s="6">
        <f t="shared" si="22"/>
        <v>1.450924699651607</v>
      </c>
      <c r="AN85" s="6">
        <f t="shared" si="23"/>
        <v>6.810453994494737</v>
      </c>
      <c r="AO85" s="6">
        <f t="shared" si="24"/>
        <v>0.926583455316756</v>
      </c>
      <c r="AP85" s="10">
        <f t="shared" si="25"/>
        <v>92.65834553167561</v>
      </c>
      <c r="AQ85" s="6">
        <f t="shared" si="26"/>
        <v>14</v>
      </c>
      <c r="AR85" s="11">
        <f>AR75+(($AK$66-$AK$65)/10)</f>
        <v>15.503646917909023</v>
      </c>
      <c r="AS85" s="6">
        <f t="shared" si="27"/>
        <v>14</v>
      </c>
      <c r="AT85" s="6">
        <f t="shared" si="37"/>
      </c>
      <c r="AU85" s="6">
        <f t="shared" si="28"/>
      </c>
      <c r="AV85" s="6" t="e">
        <f t="shared" si="29"/>
        <v>#NUM!</v>
      </c>
      <c r="AW85" s="6" t="e">
        <f t="shared" si="30"/>
        <v>#NUM!</v>
      </c>
      <c r="AX85" s="6" t="e">
        <f t="shared" si="31"/>
        <v>#NUM!</v>
      </c>
      <c r="AY85" s="6" t="e">
        <f t="shared" si="32"/>
        <v>#NUM!</v>
      </c>
      <c r="AZ85" s="6" t="e">
        <f t="shared" si="33"/>
        <v>#NUM!</v>
      </c>
      <c r="BA85" s="6" t="e">
        <f t="shared" si="34"/>
        <v>#NUM!</v>
      </c>
      <c r="BB85" s="8">
        <f t="shared" si="35"/>
      </c>
    </row>
    <row r="86" spans="1:54" ht="15">
      <c r="A86" s="61"/>
      <c r="B86" s="61"/>
      <c r="C86" s="61"/>
      <c r="D86" s="61"/>
      <c r="E86" s="61"/>
      <c r="F86" s="61"/>
      <c r="G86" s="61"/>
      <c r="H86" s="61"/>
      <c r="AL86" s="6">
        <f t="shared" si="36"/>
        <v>16.27882926380448</v>
      </c>
      <c r="AM86" s="6">
        <f t="shared" si="22"/>
        <v>1.379477590905962</v>
      </c>
      <c r="AN86" s="6">
        <f t="shared" si="23"/>
        <v>5.960478573625826</v>
      </c>
      <c r="AO86" s="6">
        <f t="shared" si="24"/>
        <v>0.9161141183843156</v>
      </c>
      <c r="AP86" s="10">
        <f t="shared" si="25"/>
        <v>91.61141183843155</v>
      </c>
      <c r="AQ86" s="6">
        <f t="shared" si="26"/>
        <v>14</v>
      </c>
      <c r="AR86" s="11"/>
      <c r="AS86" s="6">
        <f t="shared" si="27"/>
        <v>14</v>
      </c>
      <c r="AT86" s="6">
        <f t="shared" si="37"/>
      </c>
      <c r="AU86" s="6">
        <f t="shared" si="28"/>
      </c>
      <c r="AV86" s="6" t="e">
        <f t="shared" si="29"/>
        <v>#NUM!</v>
      </c>
      <c r="AW86" s="6" t="e">
        <f t="shared" si="30"/>
        <v>#NUM!</v>
      </c>
      <c r="AX86" s="6" t="e">
        <f t="shared" si="31"/>
        <v>#NUM!</v>
      </c>
      <c r="AY86" s="6" t="e">
        <f t="shared" si="32"/>
        <v>#NUM!</v>
      </c>
      <c r="AZ86" s="6" t="e">
        <f t="shared" si="33"/>
        <v>#NUM!</v>
      </c>
      <c r="BA86" s="6" t="e">
        <f t="shared" si="34"/>
        <v>#NUM!</v>
      </c>
      <c r="BB86" s="8">
        <f t="shared" si="35"/>
      </c>
    </row>
    <row r="87" spans="1:54" ht="15">
      <c r="A87" s="61"/>
      <c r="B87" s="61"/>
      <c r="C87" s="61"/>
      <c r="D87" s="61"/>
      <c r="E87" s="61"/>
      <c r="F87" s="61"/>
      <c r="G87" s="61"/>
      <c r="H87" s="61"/>
      <c r="AL87" s="6">
        <f t="shared" si="36"/>
        <v>17.05401160969993</v>
      </c>
      <c r="AM87" s="6">
        <f t="shared" si="22"/>
        <v>1.308030482160317</v>
      </c>
      <c r="AN87" s="6">
        <f t="shared" si="23"/>
        <v>5.2388885772974385</v>
      </c>
      <c r="AO87" s="6">
        <f t="shared" si="24"/>
        <v>0.9045599094879142</v>
      </c>
      <c r="AP87" s="10">
        <f t="shared" si="25"/>
        <v>90.45599094879142</v>
      </c>
      <c r="AQ87" s="6">
        <f t="shared" si="26"/>
        <v>14</v>
      </c>
      <c r="AR87" s="11"/>
      <c r="AS87" s="6">
        <f t="shared" si="27"/>
        <v>14</v>
      </c>
      <c r="AT87" s="6">
        <f t="shared" si="37"/>
      </c>
      <c r="AU87" s="6">
        <f t="shared" si="28"/>
      </c>
      <c r="AV87" s="6" t="e">
        <f t="shared" si="29"/>
        <v>#NUM!</v>
      </c>
      <c r="AW87" s="6" t="e">
        <f t="shared" si="30"/>
        <v>#NUM!</v>
      </c>
      <c r="AX87" s="6" t="e">
        <f t="shared" si="31"/>
        <v>#NUM!</v>
      </c>
      <c r="AY87" s="6" t="e">
        <f t="shared" si="32"/>
        <v>#NUM!</v>
      </c>
      <c r="AZ87" s="6" t="e">
        <f t="shared" si="33"/>
        <v>#NUM!</v>
      </c>
      <c r="BA87" s="6" t="e">
        <f t="shared" si="34"/>
        <v>#NUM!</v>
      </c>
      <c r="BB87" s="8">
        <f t="shared" si="35"/>
      </c>
    </row>
    <row r="88" spans="1:54" ht="15">
      <c r="A88" s="61"/>
      <c r="B88" s="61"/>
      <c r="C88" s="61"/>
      <c r="D88" s="61"/>
      <c r="E88" s="61"/>
      <c r="F88" s="61"/>
      <c r="G88" s="61"/>
      <c r="H88" s="61"/>
      <c r="AL88" s="6">
        <f t="shared" si="36"/>
        <v>17.829193955595382</v>
      </c>
      <c r="AM88" s="6">
        <f t="shared" si="22"/>
        <v>1.2365833734146718</v>
      </c>
      <c r="AN88" s="6">
        <f t="shared" si="23"/>
        <v>4.624210057686572</v>
      </c>
      <c r="AO88" s="6">
        <f t="shared" si="24"/>
        <v>0.8918734240524222</v>
      </c>
      <c r="AP88" s="10">
        <f t="shared" si="25"/>
        <v>89.18734240524222</v>
      </c>
      <c r="AQ88" s="6">
        <f t="shared" si="26"/>
        <v>14</v>
      </c>
      <c r="AR88" s="11"/>
      <c r="AS88" s="6">
        <f t="shared" si="27"/>
        <v>14</v>
      </c>
      <c r="AT88" s="6">
        <f t="shared" si="37"/>
      </c>
      <c r="AU88" s="6">
        <f t="shared" si="28"/>
      </c>
      <c r="AV88" s="6" t="e">
        <f t="shared" si="29"/>
        <v>#NUM!</v>
      </c>
      <c r="AW88" s="6" t="e">
        <f t="shared" si="30"/>
        <v>#NUM!</v>
      </c>
      <c r="AX88" s="6" t="e">
        <f t="shared" si="31"/>
        <v>#NUM!</v>
      </c>
      <c r="AY88" s="6" t="e">
        <f t="shared" si="32"/>
        <v>#NUM!</v>
      </c>
      <c r="AZ88" s="6" t="e">
        <f t="shared" si="33"/>
        <v>#NUM!</v>
      </c>
      <c r="BA88" s="6" t="e">
        <f t="shared" si="34"/>
        <v>#NUM!</v>
      </c>
      <c r="BB88" s="8">
        <f t="shared" si="35"/>
      </c>
    </row>
    <row r="89" spans="1:54" ht="15">
      <c r="A89" s="61"/>
      <c r="B89" s="61"/>
      <c r="C89" s="61"/>
      <c r="D89" s="61"/>
      <c r="E89" s="61"/>
      <c r="F89" s="61"/>
      <c r="G89" s="61"/>
      <c r="H89" s="61"/>
      <c r="AL89" s="6">
        <f t="shared" si="36"/>
        <v>18.604376301490834</v>
      </c>
      <c r="AM89" s="6">
        <f t="shared" si="22"/>
        <v>1.1651362646690266</v>
      </c>
      <c r="AN89" s="6">
        <f t="shared" si="23"/>
        <v>4.098855842052237</v>
      </c>
      <c r="AO89" s="6">
        <f t="shared" si="24"/>
        <v>0.8780147389253735</v>
      </c>
      <c r="AP89" s="10">
        <f t="shared" si="25"/>
        <v>87.80147389253735</v>
      </c>
      <c r="AQ89" s="6">
        <f t="shared" si="26"/>
        <v>14</v>
      </c>
      <c r="AR89" s="11"/>
      <c r="AS89" s="6">
        <f t="shared" si="27"/>
        <v>14</v>
      </c>
      <c r="AT89" s="6">
        <f t="shared" si="37"/>
      </c>
      <c r="AU89" s="6">
        <f t="shared" si="28"/>
      </c>
      <c r="AV89" s="6" t="e">
        <f t="shared" si="29"/>
        <v>#NUM!</v>
      </c>
      <c r="AW89" s="6" t="e">
        <f t="shared" si="30"/>
        <v>#NUM!</v>
      </c>
      <c r="AX89" s="6" t="e">
        <f t="shared" si="31"/>
        <v>#NUM!</v>
      </c>
      <c r="AY89" s="6" t="e">
        <f t="shared" si="32"/>
        <v>#NUM!</v>
      </c>
      <c r="AZ89" s="6" t="e">
        <f t="shared" si="33"/>
        <v>#NUM!</v>
      </c>
      <c r="BA89" s="6" t="e">
        <f t="shared" si="34"/>
        <v>#NUM!</v>
      </c>
      <c r="BB89" s="8">
        <f t="shared" si="35"/>
      </c>
    </row>
    <row r="90" spans="1:54" ht="15">
      <c r="A90" s="61"/>
      <c r="B90" s="61"/>
      <c r="C90" s="61"/>
      <c r="D90" s="61"/>
      <c r="E90" s="61"/>
      <c r="F90" s="61"/>
      <c r="G90" s="61"/>
      <c r="H90" s="61"/>
      <c r="AL90" s="6">
        <f t="shared" si="36"/>
        <v>19.379558647386286</v>
      </c>
      <c r="AM90" s="6">
        <f t="shared" si="22"/>
        <v>1.0936891559233815</v>
      </c>
      <c r="AN90" s="6">
        <f t="shared" si="23"/>
        <v>3.648376922208267</v>
      </c>
      <c r="AO90" s="6">
        <f t="shared" si="24"/>
        <v>0.8629527566199593</v>
      </c>
      <c r="AP90" s="10">
        <f t="shared" si="25"/>
        <v>86.29527566199593</v>
      </c>
      <c r="AQ90" s="6">
        <f t="shared" si="26"/>
        <v>14</v>
      </c>
      <c r="AR90" s="11"/>
      <c r="AS90" s="6">
        <f t="shared" si="27"/>
        <v>14</v>
      </c>
      <c r="AT90" s="6">
        <f t="shared" si="37"/>
      </c>
      <c r="AU90" s="6">
        <f t="shared" si="28"/>
      </c>
      <c r="AV90" s="6" t="e">
        <f t="shared" si="29"/>
        <v>#NUM!</v>
      </c>
      <c r="AW90" s="6" t="e">
        <f t="shared" si="30"/>
        <v>#NUM!</v>
      </c>
      <c r="AX90" s="6" t="e">
        <f t="shared" si="31"/>
        <v>#NUM!</v>
      </c>
      <c r="AY90" s="6" t="e">
        <f t="shared" si="32"/>
        <v>#NUM!</v>
      </c>
      <c r="AZ90" s="6" t="e">
        <f t="shared" si="33"/>
        <v>#NUM!</v>
      </c>
      <c r="BA90" s="6" t="e">
        <f t="shared" si="34"/>
        <v>#NUM!</v>
      </c>
      <c r="BB90" s="8">
        <f t="shared" si="35"/>
      </c>
    </row>
    <row r="91" spans="1:54" ht="15">
      <c r="A91" s="61"/>
      <c r="B91" s="61"/>
      <c r="C91" s="61"/>
      <c r="D91" s="61"/>
      <c r="E91" s="61"/>
      <c r="F91" s="61"/>
      <c r="G91" s="61"/>
      <c r="H91" s="61"/>
      <c r="AL91" s="6">
        <f t="shared" si="36"/>
        <v>20.154740993281738</v>
      </c>
      <c r="AM91" s="6">
        <f t="shared" si="22"/>
        <v>1.0222420471777363</v>
      </c>
      <c r="AN91" s="6">
        <f t="shared" si="23"/>
        <v>3.2608656780557177</v>
      </c>
      <c r="AO91" s="6">
        <f t="shared" si="24"/>
        <v>0.8466664838834688</v>
      </c>
      <c r="AP91" s="10">
        <f t="shared" si="25"/>
        <v>84.66664838834687</v>
      </c>
      <c r="AQ91" s="6">
        <f t="shared" si="26"/>
        <v>14</v>
      </c>
      <c r="AR91" s="11"/>
      <c r="AS91" s="6">
        <f t="shared" si="27"/>
        <v>14</v>
      </c>
      <c r="AT91" s="6">
        <f t="shared" si="37"/>
      </c>
      <c r="AU91" s="6">
        <f t="shared" si="28"/>
      </c>
      <c r="AV91" s="6" t="e">
        <f t="shared" si="29"/>
        <v>#NUM!</v>
      </c>
      <c r="AW91" s="6" t="e">
        <f t="shared" si="30"/>
        <v>#NUM!</v>
      </c>
      <c r="AX91" s="6" t="e">
        <f t="shared" si="31"/>
        <v>#NUM!</v>
      </c>
      <c r="AY91" s="6" t="e">
        <f t="shared" si="32"/>
        <v>#NUM!</v>
      </c>
      <c r="AZ91" s="6" t="e">
        <f t="shared" si="33"/>
        <v>#NUM!</v>
      </c>
      <c r="BA91" s="6" t="e">
        <f t="shared" si="34"/>
        <v>#NUM!</v>
      </c>
      <c r="BB91" s="8">
        <f t="shared" si="35"/>
      </c>
    </row>
    <row r="92" spans="1:54" ht="15">
      <c r="A92" s="61"/>
      <c r="B92" s="61"/>
      <c r="C92" s="61"/>
      <c r="D92" s="61"/>
      <c r="E92" s="61"/>
      <c r="F92" s="61"/>
      <c r="G92" s="61"/>
      <c r="H92" s="61"/>
      <c r="AL92" s="6">
        <f t="shared" si="36"/>
        <v>20.92992333917719</v>
      </c>
      <c r="AM92" s="6">
        <f t="shared" si="22"/>
        <v>0.9507949384320911</v>
      </c>
      <c r="AN92" s="6">
        <f t="shared" si="23"/>
        <v>2.9264787506597947</v>
      </c>
      <c r="AO92" s="6">
        <f t="shared" si="24"/>
        <v>0.8291462051835259</v>
      </c>
      <c r="AP92" s="10">
        <f t="shared" si="25"/>
        <v>82.91462051835259</v>
      </c>
      <c r="AQ92" s="6">
        <f t="shared" si="26"/>
        <v>14</v>
      </c>
      <c r="AR92" s="11"/>
      <c r="AS92" s="6">
        <f t="shared" si="27"/>
        <v>14</v>
      </c>
      <c r="AT92" s="6">
        <f t="shared" si="37"/>
      </c>
      <c r="AU92" s="6">
        <f t="shared" si="28"/>
      </c>
      <c r="AV92" s="6" t="e">
        <f t="shared" si="29"/>
        <v>#NUM!</v>
      </c>
      <c r="AW92" s="6" t="e">
        <f t="shared" si="30"/>
        <v>#NUM!</v>
      </c>
      <c r="AX92" s="6" t="e">
        <f t="shared" si="31"/>
        <v>#NUM!</v>
      </c>
      <c r="AY92" s="6" t="e">
        <f t="shared" si="32"/>
        <v>#NUM!</v>
      </c>
      <c r="AZ92" s="6" t="e">
        <f t="shared" si="33"/>
        <v>#NUM!</v>
      </c>
      <c r="BA92" s="6" t="e">
        <f t="shared" si="34"/>
        <v>#NUM!</v>
      </c>
      <c r="BB92" s="8">
        <f t="shared" si="35"/>
      </c>
    </row>
    <row r="93" spans="1:54" ht="15">
      <c r="A93" s="61"/>
      <c r="B93" s="61"/>
      <c r="C93" s="61"/>
      <c r="D93" s="61"/>
      <c r="E93" s="61"/>
      <c r="F93" s="61"/>
      <c r="G93" s="61"/>
      <c r="H93" s="61"/>
      <c r="AL93" s="6">
        <f t="shared" si="36"/>
        <v>21.705105685072642</v>
      </c>
      <c r="AM93" s="6">
        <f t="shared" si="22"/>
        <v>0.8793478296864459</v>
      </c>
      <c r="AN93" s="6">
        <f t="shared" si="23"/>
        <v>2.637054469182085</v>
      </c>
      <c r="AO93" s="6">
        <f t="shared" si="24"/>
        <v>0.8103945118148883</v>
      </c>
      <c r="AP93" s="10">
        <f t="shared" si="25"/>
        <v>81.03945118148883</v>
      </c>
      <c r="AQ93" s="6">
        <f t="shared" si="26"/>
        <v>21</v>
      </c>
      <c r="AR93" s="11"/>
      <c r="AS93" s="6">
        <f t="shared" si="27"/>
        <v>21</v>
      </c>
      <c r="AT93" s="6">
        <f t="shared" si="37"/>
        <v>85</v>
      </c>
      <c r="AU93" s="6">
        <f t="shared" si="28"/>
        <v>15</v>
      </c>
      <c r="AV93" s="6">
        <f t="shared" si="29"/>
        <v>1.9478808920906234</v>
      </c>
      <c r="AW93" s="6">
        <f t="shared" si="30"/>
        <v>4.118565928265436</v>
      </c>
      <c r="AX93" s="6">
        <f t="shared" si="31"/>
        <v>4.518699444074032</v>
      </c>
      <c r="AY93" s="6">
        <f t="shared" si="32"/>
        <v>0.9114494069010624</v>
      </c>
      <c r="AZ93" s="6">
        <f t="shared" si="33"/>
        <v>1.036431485189561</v>
      </c>
      <c r="BA93" s="6">
        <f t="shared" si="34"/>
        <v>1.036431485189561</v>
      </c>
      <c r="BB93" s="8">
        <f t="shared" si="35"/>
        <v>1.036431485189561</v>
      </c>
    </row>
    <row r="94" spans="38:54" ht="15">
      <c r="AL94" s="6">
        <f t="shared" si="36"/>
        <v>22.480288030968094</v>
      </c>
      <c r="AM94" s="6">
        <f t="shared" si="22"/>
        <v>0.8079007209408009</v>
      </c>
      <c r="AN94" s="6">
        <f t="shared" si="23"/>
        <v>2.3858052096690803</v>
      </c>
      <c r="AO94" s="6">
        <f t="shared" si="24"/>
        <v>0.7904271488830592</v>
      </c>
      <c r="AP94" s="10">
        <f t="shared" si="25"/>
        <v>79.04271488830592</v>
      </c>
      <c r="AQ94" s="6">
        <f t="shared" si="26"/>
        <v>21</v>
      </c>
      <c r="AR94" s="11"/>
      <c r="AS94" s="6">
        <f t="shared" si="27"/>
        <v>21</v>
      </c>
      <c r="AT94" s="6">
        <f t="shared" si="37"/>
      </c>
      <c r="AU94" s="6">
        <f t="shared" si="28"/>
      </c>
      <c r="AV94" s="6" t="e">
        <f t="shared" si="29"/>
        <v>#NUM!</v>
      </c>
      <c r="AW94" s="6" t="e">
        <f t="shared" si="30"/>
        <v>#NUM!</v>
      </c>
      <c r="AX94" s="6" t="e">
        <f t="shared" si="31"/>
        <v>#NUM!</v>
      </c>
      <c r="AY94" s="6" t="e">
        <f t="shared" si="32"/>
        <v>#NUM!</v>
      </c>
      <c r="AZ94" s="6" t="e">
        <f t="shared" si="33"/>
        <v>#NUM!</v>
      </c>
      <c r="BA94" s="6" t="e">
        <f t="shared" si="34"/>
        <v>#NUM!</v>
      </c>
      <c r="BB94" s="8">
        <f t="shared" si="35"/>
      </c>
    </row>
    <row r="95" spans="38:54" ht="15">
      <c r="AL95" s="6">
        <f t="shared" si="36"/>
        <v>23.255470376863546</v>
      </c>
      <c r="AM95" s="6">
        <f t="shared" si="22"/>
        <v>0.7364536121951555</v>
      </c>
      <c r="AN95" s="6">
        <f t="shared" si="23"/>
        <v>2.1670693015359213</v>
      </c>
      <c r="AO95" s="6">
        <f t="shared" si="24"/>
        <v>0.7692736454502759</v>
      </c>
      <c r="AP95" s="10">
        <f t="shared" si="25"/>
        <v>76.92736454502759</v>
      </c>
      <c r="AQ95" s="6">
        <f t="shared" si="26"/>
        <v>21</v>
      </c>
      <c r="AR95" s="11">
        <f>AR85+(($AK$66-$AK$65)/10)</f>
        <v>23.255470376863535</v>
      </c>
      <c r="AS95" s="6">
        <f t="shared" si="27"/>
        <v>21</v>
      </c>
      <c r="AT95" s="6">
        <f t="shared" si="37"/>
      </c>
      <c r="AU95" s="6">
        <f t="shared" si="28"/>
      </c>
      <c r="AV95" s="6" t="e">
        <f t="shared" si="29"/>
        <v>#NUM!</v>
      </c>
      <c r="AW95" s="6" t="e">
        <f t="shared" si="30"/>
        <v>#NUM!</v>
      </c>
      <c r="AX95" s="6" t="e">
        <f t="shared" si="31"/>
        <v>#NUM!</v>
      </c>
      <c r="AY95" s="6" t="e">
        <f t="shared" si="32"/>
        <v>#NUM!</v>
      </c>
      <c r="AZ95" s="6" t="e">
        <f t="shared" si="33"/>
        <v>#NUM!</v>
      </c>
      <c r="BA95" s="6" t="e">
        <f t="shared" si="34"/>
        <v>#NUM!</v>
      </c>
      <c r="BB95" s="8">
        <f t="shared" si="35"/>
      </c>
    </row>
    <row r="96" spans="38:54" ht="15">
      <c r="AL96" s="6">
        <f t="shared" si="36"/>
        <v>24.030652722758997</v>
      </c>
      <c r="AM96" s="6">
        <f t="shared" si="22"/>
        <v>0.6650065034495105</v>
      </c>
      <c r="AN96" s="6">
        <f t="shared" si="23"/>
        <v>1.9761103873285635</v>
      </c>
      <c r="AO96" s="6">
        <f t="shared" si="24"/>
        <v>0.746977697599205</v>
      </c>
      <c r="AP96" s="10">
        <f t="shared" si="25"/>
        <v>74.69776975992049</v>
      </c>
      <c r="AQ96" s="6">
        <f t="shared" si="26"/>
        <v>21</v>
      </c>
      <c r="AR96" s="11"/>
      <c r="AS96" s="6">
        <f t="shared" si="27"/>
        <v>21</v>
      </c>
      <c r="AT96" s="6">
        <f t="shared" si="37"/>
      </c>
      <c r="AU96" s="6">
        <f t="shared" si="28"/>
      </c>
      <c r="AV96" s="6" t="e">
        <f t="shared" si="29"/>
        <v>#NUM!</v>
      </c>
      <c r="AW96" s="6" t="e">
        <f t="shared" si="30"/>
        <v>#NUM!</v>
      </c>
      <c r="AX96" s="6" t="e">
        <f t="shared" si="31"/>
        <v>#NUM!</v>
      </c>
      <c r="AY96" s="6" t="e">
        <f t="shared" si="32"/>
        <v>#NUM!</v>
      </c>
      <c r="AZ96" s="6" t="e">
        <f t="shared" si="33"/>
        <v>#NUM!</v>
      </c>
      <c r="BA96" s="6" t="e">
        <f t="shared" si="34"/>
        <v>#NUM!</v>
      </c>
      <c r="BB96" s="8">
        <f t="shared" si="35"/>
      </c>
    </row>
    <row r="97" spans="38:54" ht="15">
      <c r="AL97" s="6">
        <f t="shared" si="36"/>
        <v>24.80583506865445</v>
      </c>
      <c r="AM97" s="6">
        <f aca="true" t="shared" si="38" ref="AM97:AM128">$F$11+$F$9*AL97</f>
        <v>0.5935593947038651</v>
      </c>
      <c r="AN97" s="6">
        <f aca="true" t="shared" si="39" ref="AN97:AN128">(((((0.000005383*ABS(AM97)+0.0000488906*ABS(AM97)+0.0000380036)*ABS(AM97)+0.003277626)*ABS(AM97)+0.02114101)*ABS(AM97)+0.04986735)*ABS(AM97)+1)^16</f>
        <v>1.808954701870153</v>
      </c>
      <c r="AO97" s="6">
        <f aca="true" t="shared" si="40" ref="AO97:AO128">IF(AM97&gt;=0,(1-0.5/AN97),1-(1-0.5/AN97))</f>
        <v>0.7235972799744048</v>
      </c>
      <c r="AP97" s="10">
        <f aca="true" t="shared" si="41" ref="AP97:AP128">AO97*100</f>
        <v>72.35972799744049</v>
      </c>
      <c r="AQ97" s="6">
        <f aca="true" t="shared" si="42" ref="AQ97:AQ128">IF((AL97&lt;MAX($A$4:$A$23)),VLOOKUP(AL97,$A$4:$B$23,1),MAX($A$4:$A$23))</f>
        <v>21</v>
      </c>
      <c r="AR97" s="11"/>
      <c r="AS97" s="6">
        <f aca="true" t="shared" si="43" ref="AS97:AS128">IF(ISERR(AQ97),10000000,AQ97)</f>
        <v>21</v>
      </c>
      <c r="AT97" s="6">
        <f t="shared" si="37"/>
      </c>
      <c r="AU97" s="6">
        <f aca="true" t="shared" si="44" ref="AU97:AU128">IF(AT97&gt;=50,100-AT97,AT97)</f>
      </c>
      <c r="AV97" s="6" t="e">
        <f aca="true" t="shared" si="45" ref="AV97:AV128">SQRT(-2*LN(AU97/100))</f>
        <v>#NUM!</v>
      </c>
      <c r="AW97" s="6" t="e">
        <f aca="true" t="shared" si="46" ref="AW97:AW128">(((0.010328*AV97+0.802853)*AV97)+2.515517)</f>
        <v>#NUM!</v>
      </c>
      <c r="AX97" s="6" t="e">
        <f aca="true" t="shared" si="47" ref="AX97:AX128">(((0.001308*AV97+0.189269)*AV97+1.432788)*AV97+1)</f>
        <v>#NUM!</v>
      </c>
      <c r="AY97" s="6" t="e">
        <f aca="true" t="shared" si="48" ref="AY97:AY128">AW97/AX97</f>
        <v>#NUM!</v>
      </c>
      <c r="AZ97" s="6" t="e">
        <f aca="true" t="shared" si="49" ref="AZ97:AZ128">AV97-AY97</f>
        <v>#NUM!</v>
      </c>
      <c r="BA97" s="6" t="e">
        <f aca="true" t="shared" si="50" ref="BA97:BA128">IF(ISNA(AZ97),0,IF(AT97&gt;50,AZ97,-AZ97))</f>
        <v>#NUM!</v>
      </c>
      <c r="BB97" s="8">
        <f aca="true" t="shared" si="51" ref="BB97:BB128">IF(ISERR(BA97),"",BA97)</f>
      </c>
    </row>
    <row r="98" spans="38:54" ht="15">
      <c r="AL98" s="6">
        <f aca="true" t="shared" si="52" ref="AL98:AL129">AL97+(($AK$66-$AK$65)/100)</f>
        <v>25.5810174145499</v>
      </c>
      <c r="AM98" s="6">
        <f t="shared" si="38"/>
        <v>0.5221122859582201</v>
      </c>
      <c r="AN98" s="6">
        <f t="shared" si="39"/>
        <v>1.6622587350957123</v>
      </c>
      <c r="AO98" s="6">
        <f t="shared" si="40"/>
        <v>0.6992044683277239</v>
      </c>
      <c r="AP98" s="10">
        <f t="shared" si="41"/>
        <v>69.92044683277238</v>
      </c>
      <c r="AQ98" s="6">
        <f t="shared" si="42"/>
        <v>21</v>
      </c>
      <c r="AR98" s="11"/>
      <c r="AS98" s="6">
        <f t="shared" si="43"/>
        <v>21</v>
      </c>
      <c r="AT98" s="6">
        <f aca="true" t="shared" si="53" ref="AT98:AT129">IF(AS98=AS97,"",VLOOKUP(AS98,$A$4:$B$23,2))</f>
      </c>
      <c r="AU98" s="6">
        <f t="shared" si="44"/>
      </c>
      <c r="AV98" s="6" t="e">
        <f t="shared" si="45"/>
        <v>#NUM!</v>
      </c>
      <c r="AW98" s="6" t="e">
        <f t="shared" si="46"/>
        <v>#NUM!</v>
      </c>
      <c r="AX98" s="6" t="e">
        <f t="shared" si="47"/>
        <v>#NUM!</v>
      </c>
      <c r="AY98" s="6" t="e">
        <f t="shared" si="48"/>
        <v>#NUM!</v>
      </c>
      <c r="AZ98" s="6" t="e">
        <f t="shared" si="49"/>
        <v>#NUM!</v>
      </c>
      <c r="BA98" s="6" t="e">
        <f t="shared" si="50"/>
        <v>#NUM!</v>
      </c>
      <c r="BB98" s="8">
        <f t="shared" si="51"/>
      </c>
    </row>
    <row r="99" spans="38:74" ht="15">
      <c r="AL99" s="6">
        <f t="shared" si="52"/>
        <v>26.356199760445353</v>
      </c>
      <c r="AM99" s="6">
        <f t="shared" si="38"/>
        <v>0.45066517721257515</v>
      </c>
      <c r="AN99" s="6">
        <f t="shared" si="39"/>
        <v>1.5332013063362182</v>
      </c>
      <c r="AO99" s="6">
        <f t="shared" si="40"/>
        <v>0.6738849634854445</v>
      </c>
      <c r="AP99" s="10">
        <f t="shared" si="41"/>
        <v>67.38849634854445</v>
      </c>
      <c r="AQ99" s="6">
        <f t="shared" si="42"/>
        <v>21</v>
      </c>
      <c r="AR99" s="11"/>
      <c r="AS99" s="6">
        <f t="shared" si="43"/>
        <v>21</v>
      </c>
      <c r="AT99" s="6">
        <f t="shared" si="53"/>
      </c>
      <c r="AU99" s="6">
        <f t="shared" si="44"/>
      </c>
      <c r="AV99" s="6" t="e">
        <f t="shared" si="45"/>
        <v>#NUM!</v>
      </c>
      <c r="AW99" s="6" t="e">
        <f t="shared" si="46"/>
        <v>#NUM!</v>
      </c>
      <c r="AX99" s="6" t="e">
        <f t="shared" si="47"/>
        <v>#NUM!</v>
      </c>
      <c r="AY99" s="6" t="e">
        <f t="shared" si="48"/>
        <v>#NUM!</v>
      </c>
      <c r="AZ99" s="6" t="e">
        <f t="shared" si="49"/>
        <v>#NUM!</v>
      </c>
      <c r="BA99" s="6" t="e">
        <f t="shared" si="50"/>
        <v>#NUM!</v>
      </c>
      <c r="BB99" s="8">
        <f t="shared" si="51"/>
      </c>
      <c r="BV99" s="9"/>
    </row>
    <row r="100" spans="38:86" ht="15">
      <c r="AL100" s="6">
        <f t="shared" si="52"/>
        <v>27.131382106340805</v>
      </c>
      <c r="AM100" s="6">
        <f t="shared" si="38"/>
        <v>0.37921806846692974</v>
      </c>
      <c r="AN100" s="6">
        <f t="shared" si="39"/>
        <v>1.4193953043057732</v>
      </c>
      <c r="AO100" s="6">
        <f t="shared" si="40"/>
        <v>0.6477373156841955</v>
      </c>
      <c r="AP100" s="10">
        <f t="shared" si="41"/>
        <v>64.77373156841955</v>
      </c>
      <c r="AQ100" s="6">
        <f t="shared" si="42"/>
        <v>21</v>
      </c>
      <c r="AR100" s="11"/>
      <c r="AS100" s="6">
        <f t="shared" si="43"/>
        <v>21</v>
      </c>
      <c r="AT100" s="6">
        <f t="shared" si="53"/>
      </c>
      <c r="AU100" s="6">
        <f t="shared" si="44"/>
      </c>
      <c r="AV100" s="6" t="e">
        <f t="shared" si="45"/>
        <v>#NUM!</v>
      </c>
      <c r="AW100" s="6" t="e">
        <f t="shared" si="46"/>
        <v>#NUM!</v>
      </c>
      <c r="AX100" s="6" t="e">
        <f t="shared" si="47"/>
        <v>#NUM!</v>
      </c>
      <c r="AY100" s="6" t="e">
        <f t="shared" si="48"/>
        <v>#NUM!</v>
      </c>
      <c r="AZ100" s="6" t="e">
        <f t="shared" si="49"/>
        <v>#NUM!</v>
      </c>
      <c r="BA100" s="6" t="e">
        <f t="shared" si="50"/>
        <v>#NUM!</v>
      </c>
      <c r="BB100" s="8">
        <f t="shared" si="51"/>
      </c>
      <c r="CH100" s="12" t="s">
        <v>61</v>
      </c>
    </row>
    <row r="101" spans="38:86" ht="15">
      <c r="AL101" s="6">
        <f t="shared" si="52"/>
        <v>27.906564452236257</v>
      </c>
      <c r="AM101" s="6">
        <f t="shared" si="38"/>
        <v>0.30777095972128476</v>
      </c>
      <c r="AN101" s="6">
        <f t="shared" si="39"/>
        <v>1.3188153116926944</v>
      </c>
      <c r="AO101" s="6">
        <f t="shared" si="40"/>
        <v>0.6208718570621903</v>
      </c>
      <c r="AP101" s="10">
        <f t="shared" si="41"/>
        <v>62.08718570621903</v>
      </c>
      <c r="AQ101" s="6">
        <f t="shared" si="42"/>
        <v>21</v>
      </c>
      <c r="AR101" s="11"/>
      <c r="AS101" s="6">
        <f t="shared" si="43"/>
        <v>21</v>
      </c>
      <c r="AT101" s="6">
        <f t="shared" si="53"/>
      </c>
      <c r="AU101" s="6">
        <f t="shared" si="44"/>
      </c>
      <c r="AV101" s="6" t="e">
        <f t="shared" si="45"/>
        <v>#NUM!</v>
      </c>
      <c r="AW101" s="6" t="e">
        <f t="shared" si="46"/>
        <v>#NUM!</v>
      </c>
      <c r="AX101" s="6" t="e">
        <f t="shared" si="47"/>
        <v>#NUM!</v>
      </c>
      <c r="AY101" s="6" t="e">
        <f t="shared" si="48"/>
        <v>#NUM!</v>
      </c>
      <c r="AZ101" s="6" t="e">
        <f t="shared" si="49"/>
        <v>#NUM!</v>
      </c>
      <c r="BA101" s="6" t="e">
        <f t="shared" si="50"/>
        <v>#NUM!</v>
      </c>
      <c r="BB101" s="8">
        <f t="shared" si="51"/>
      </c>
      <c r="CH101" s="5" t="s">
        <v>62</v>
      </c>
    </row>
    <row r="102" spans="38:103" ht="15">
      <c r="AL102" s="6">
        <f t="shared" si="52"/>
        <v>28.68174679813171</v>
      </c>
      <c r="AM102" s="6">
        <f t="shared" si="38"/>
        <v>0.23632385097563935</v>
      </c>
      <c r="AN102" s="6">
        <f t="shared" si="39"/>
        <v>1.229738093915151</v>
      </c>
      <c r="AO102" s="6">
        <f t="shared" si="40"/>
        <v>0.5934093588919115</v>
      </c>
      <c r="AP102" s="10">
        <f t="shared" si="41"/>
        <v>59.34093588919115</v>
      </c>
      <c r="AQ102" s="6">
        <f t="shared" si="42"/>
        <v>21</v>
      </c>
      <c r="AR102" s="11"/>
      <c r="AS102" s="6">
        <f t="shared" si="43"/>
        <v>21</v>
      </c>
      <c r="AT102" s="6">
        <f t="shared" si="53"/>
      </c>
      <c r="AU102" s="6">
        <f t="shared" si="44"/>
      </c>
      <c r="AV102" s="6" t="e">
        <f t="shared" si="45"/>
        <v>#NUM!</v>
      </c>
      <c r="AW102" s="6" t="e">
        <f t="shared" si="46"/>
        <v>#NUM!</v>
      </c>
      <c r="AX102" s="6" t="e">
        <f t="shared" si="47"/>
        <v>#NUM!</v>
      </c>
      <c r="AY102" s="6" t="e">
        <f t="shared" si="48"/>
        <v>#NUM!</v>
      </c>
      <c r="AZ102" s="6" t="e">
        <f t="shared" si="49"/>
        <v>#NUM!</v>
      </c>
      <c r="BA102" s="6" t="e">
        <f t="shared" si="50"/>
        <v>#NUM!</v>
      </c>
      <c r="BB102" s="8">
        <f t="shared" si="51"/>
      </c>
      <c r="BU102" s="9"/>
      <c r="CY102" s="12" t="s">
        <v>63</v>
      </c>
    </row>
    <row r="103" spans="38:86" ht="15">
      <c r="AL103" s="6">
        <f t="shared" si="52"/>
        <v>29.45692914402716</v>
      </c>
      <c r="AM103" s="6">
        <f t="shared" si="38"/>
        <v>0.16487674222999438</v>
      </c>
      <c r="AN103" s="6">
        <f t="shared" si="39"/>
        <v>1.150693532946401</v>
      </c>
      <c r="AO103" s="6">
        <f t="shared" si="40"/>
        <v>0.5654794385437032</v>
      </c>
      <c r="AP103" s="10">
        <f t="shared" si="41"/>
        <v>56.54794385437032</v>
      </c>
      <c r="AQ103" s="6">
        <f t="shared" si="42"/>
        <v>21</v>
      </c>
      <c r="AR103" s="11"/>
      <c r="AS103" s="6">
        <f t="shared" si="43"/>
        <v>21</v>
      </c>
      <c r="AT103" s="6">
        <f t="shared" si="53"/>
      </c>
      <c r="AU103" s="6">
        <f t="shared" si="44"/>
      </c>
      <c r="AV103" s="6" t="e">
        <f t="shared" si="45"/>
        <v>#NUM!</v>
      </c>
      <c r="AW103" s="6" t="e">
        <f t="shared" si="46"/>
        <v>#NUM!</v>
      </c>
      <c r="AX103" s="6" t="e">
        <f t="shared" si="47"/>
        <v>#NUM!</v>
      </c>
      <c r="AY103" s="6" t="e">
        <f t="shared" si="48"/>
        <v>#NUM!</v>
      </c>
      <c r="AZ103" s="6" t="e">
        <f t="shared" si="49"/>
        <v>#NUM!</v>
      </c>
      <c r="BA103" s="6" t="e">
        <f t="shared" si="50"/>
        <v>#NUM!</v>
      </c>
      <c r="BB103" s="8">
        <f t="shared" si="51"/>
      </c>
      <c r="CG103" s="13" t="s">
        <v>0</v>
      </c>
      <c r="CH103" s="5" t="s">
        <v>64</v>
      </c>
    </row>
    <row r="104" spans="38:103" ht="15">
      <c r="AL104" s="6">
        <f t="shared" si="52"/>
        <v>30.232111489922612</v>
      </c>
      <c r="AM104" s="6">
        <f t="shared" si="38"/>
        <v>0.09342963348434896</v>
      </c>
      <c r="AN104" s="6">
        <f t="shared" si="39"/>
        <v>1.0804240637215552</v>
      </c>
      <c r="AO104" s="6">
        <f t="shared" si="40"/>
        <v>0.5372187488329961</v>
      </c>
      <c r="AP104" s="10">
        <f t="shared" si="41"/>
        <v>53.72187488329961</v>
      </c>
      <c r="AQ104" s="6">
        <f t="shared" si="42"/>
        <v>21</v>
      </c>
      <c r="AR104" s="11"/>
      <c r="AS104" s="6">
        <f t="shared" si="43"/>
        <v>21</v>
      </c>
      <c r="AT104" s="6">
        <f t="shared" si="53"/>
      </c>
      <c r="AU104" s="6">
        <f t="shared" si="44"/>
      </c>
      <c r="AV104" s="6" t="e">
        <f t="shared" si="45"/>
        <v>#NUM!</v>
      </c>
      <c r="AW104" s="6" t="e">
        <f t="shared" si="46"/>
        <v>#NUM!</v>
      </c>
      <c r="AX104" s="6" t="e">
        <f t="shared" si="47"/>
        <v>#NUM!</v>
      </c>
      <c r="AY104" s="6" t="e">
        <f t="shared" si="48"/>
        <v>#NUM!</v>
      </c>
      <c r="AZ104" s="6" t="e">
        <f t="shared" si="49"/>
        <v>#NUM!</v>
      </c>
      <c r="BA104" s="6" t="e">
        <f t="shared" si="50"/>
        <v>#NUM!</v>
      </c>
      <c r="BB104" s="8">
        <f t="shared" si="51"/>
      </c>
      <c r="BV104" s="9"/>
      <c r="CH104" s="5" t="s">
        <v>65</v>
      </c>
      <c r="CY104" s="12" t="s">
        <v>66</v>
      </c>
    </row>
    <row r="105" spans="38:54" ht="15">
      <c r="AL105" s="6">
        <f t="shared" si="52"/>
        <v>31.007293835818064</v>
      </c>
      <c r="AM105" s="6">
        <f t="shared" si="38"/>
        <v>0.02198252473870399</v>
      </c>
      <c r="AN105" s="6">
        <f t="shared" si="39"/>
        <v>1.0178510493368764</v>
      </c>
      <c r="AO105" s="6">
        <f t="shared" si="40"/>
        <v>0.5087689890129339</v>
      </c>
      <c r="AP105" s="10">
        <f t="shared" si="41"/>
        <v>50.87689890129339</v>
      </c>
      <c r="AQ105" s="6">
        <f t="shared" si="42"/>
        <v>21</v>
      </c>
      <c r="AR105" s="11">
        <f>AR95+(($AK$66-$AK$65)/10)</f>
        <v>31.007293835818047</v>
      </c>
      <c r="AS105" s="6">
        <f t="shared" si="43"/>
        <v>21</v>
      </c>
      <c r="AT105" s="6">
        <f t="shared" si="53"/>
      </c>
      <c r="AU105" s="6">
        <f t="shared" si="44"/>
      </c>
      <c r="AV105" s="6" t="e">
        <f t="shared" si="45"/>
        <v>#NUM!</v>
      </c>
      <c r="AW105" s="6" t="e">
        <f t="shared" si="46"/>
        <v>#NUM!</v>
      </c>
      <c r="AX105" s="6" t="e">
        <f t="shared" si="47"/>
        <v>#NUM!</v>
      </c>
      <c r="AY105" s="6" t="e">
        <f t="shared" si="48"/>
        <v>#NUM!</v>
      </c>
      <c r="AZ105" s="6" t="e">
        <f t="shared" si="49"/>
        <v>#NUM!</v>
      </c>
      <c r="BA105" s="6" t="e">
        <f t="shared" si="50"/>
        <v>#NUM!</v>
      </c>
      <c r="BB105" s="8">
        <f t="shared" si="51"/>
      </c>
    </row>
    <row r="106" spans="38:86" ht="15">
      <c r="AL106" s="6">
        <f t="shared" si="52"/>
        <v>31.782476181713516</v>
      </c>
      <c r="AM106" s="6">
        <f t="shared" si="38"/>
        <v>-0.04946458400694098</v>
      </c>
      <c r="AN106" s="6">
        <f t="shared" si="39"/>
        <v>1.0410710006298136</v>
      </c>
      <c r="AO106" s="6">
        <f t="shared" si="40"/>
        <v>0.4802746399597304</v>
      </c>
      <c r="AP106" s="10">
        <f t="shared" si="41"/>
        <v>48.027463995973044</v>
      </c>
      <c r="AQ106" s="6">
        <f t="shared" si="42"/>
        <v>21</v>
      </c>
      <c r="AR106" s="11"/>
      <c r="AS106" s="6">
        <f t="shared" si="43"/>
        <v>21</v>
      </c>
      <c r="AT106" s="6">
        <f t="shared" si="53"/>
      </c>
      <c r="AU106" s="6">
        <f t="shared" si="44"/>
      </c>
      <c r="AV106" s="6" t="e">
        <f t="shared" si="45"/>
        <v>#NUM!</v>
      </c>
      <c r="AW106" s="6" t="e">
        <f t="shared" si="46"/>
        <v>#NUM!</v>
      </c>
      <c r="AX106" s="6" t="e">
        <f t="shared" si="47"/>
        <v>#NUM!</v>
      </c>
      <c r="AY106" s="6" t="e">
        <f t="shared" si="48"/>
        <v>#NUM!</v>
      </c>
      <c r="AZ106" s="6" t="e">
        <f t="shared" si="49"/>
        <v>#NUM!</v>
      </c>
      <c r="BA106" s="6" t="e">
        <f t="shared" si="50"/>
        <v>#NUM!</v>
      </c>
      <c r="BB106" s="8">
        <f t="shared" si="51"/>
      </c>
      <c r="BU106" s="9"/>
      <c r="CG106" s="12" t="s">
        <v>1</v>
      </c>
      <c r="CH106" s="5" t="s">
        <v>67</v>
      </c>
    </row>
    <row r="107" spans="38:86" ht="15">
      <c r="AL107" s="6">
        <f t="shared" si="52"/>
        <v>32.557658527608965</v>
      </c>
      <c r="AM107" s="6">
        <f t="shared" si="38"/>
        <v>-0.12091169275258595</v>
      </c>
      <c r="AN107" s="6">
        <f t="shared" si="39"/>
        <v>1.1064869748453743</v>
      </c>
      <c r="AO107" s="6">
        <f t="shared" si="40"/>
        <v>0.4518806017304202</v>
      </c>
      <c r="AP107" s="10">
        <f t="shared" si="41"/>
        <v>45.18806017304202</v>
      </c>
      <c r="AQ107" s="6">
        <f t="shared" si="42"/>
        <v>21</v>
      </c>
      <c r="AR107" s="11"/>
      <c r="AS107" s="6">
        <f t="shared" si="43"/>
        <v>21</v>
      </c>
      <c r="AT107" s="6">
        <f t="shared" si="53"/>
      </c>
      <c r="AU107" s="6">
        <f t="shared" si="44"/>
      </c>
      <c r="AV107" s="6" t="e">
        <f t="shared" si="45"/>
        <v>#NUM!</v>
      </c>
      <c r="AW107" s="6" t="e">
        <f t="shared" si="46"/>
        <v>#NUM!</v>
      </c>
      <c r="AX107" s="6" t="e">
        <f t="shared" si="47"/>
        <v>#NUM!</v>
      </c>
      <c r="AY107" s="6" t="e">
        <f t="shared" si="48"/>
        <v>#NUM!</v>
      </c>
      <c r="AZ107" s="6" t="e">
        <f t="shared" si="49"/>
        <v>#NUM!</v>
      </c>
      <c r="BA107" s="6" t="e">
        <f t="shared" si="50"/>
        <v>#NUM!</v>
      </c>
      <c r="BB107" s="8">
        <f t="shared" si="51"/>
      </c>
      <c r="CH107" s="5" t="s">
        <v>68</v>
      </c>
    </row>
    <row r="108" spans="38:54" ht="15">
      <c r="AL108" s="6">
        <f t="shared" si="52"/>
        <v>33.332840873504416</v>
      </c>
      <c r="AM108" s="6">
        <f t="shared" si="38"/>
        <v>-0.19235880149823137</v>
      </c>
      <c r="AN108" s="6">
        <f t="shared" si="39"/>
        <v>1.1799950183135213</v>
      </c>
      <c r="AO108" s="6">
        <f t="shared" si="40"/>
        <v>0.4237306024517058</v>
      </c>
      <c r="AP108" s="10">
        <f t="shared" si="41"/>
        <v>42.37306024517058</v>
      </c>
      <c r="AQ108" s="6">
        <f t="shared" si="42"/>
        <v>21</v>
      </c>
      <c r="AR108" s="11"/>
      <c r="AS108" s="6">
        <f t="shared" si="43"/>
        <v>21</v>
      </c>
      <c r="AT108" s="6">
        <f t="shared" si="53"/>
      </c>
      <c r="AU108" s="6">
        <f t="shared" si="44"/>
      </c>
      <c r="AV108" s="6" t="e">
        <f t="shared" si="45"/>
        <v>#NUM!</v>
      </c>
      <c r="AW108" s="6" t="e">
        <f t="shared" si="46"/>
        <v>#NUM!</v>
      </c>
      <c r="AX108" s="6" t="e">
        <f t="shared" si="47"/>
        <v>#NUM!</v>
      </c>
      <c r="AY108" s="6" t="e">
        <f t="shared" si="48"/>
        <v>#NUM!</v>
      </c>
      <c r="AZ108" s="6" t="e">
        <f t="shared" si="49"/>
        <v>#NUM!</v>
      </c>
      <c r="BA108" s="6" t="e">
        <f t="shared" si="50"/>
        <v>#NUM!</v>
      </c>
      <c r="BB108" s="8">
        <f t="shared" si="51"/>
      </c>
    </row>
    <row r="109" spans="38:86" ht="15">
      <c r="AL109" s="6">
        <f t="shared" si="52"/>
        <v>34.10802321939987</v>
      </c>
      <c r="AM109" s="6">
        <f t="shared" si="38"/>
        <v>-0.26380591024387634</v>
      </c>
      <c r="AN109" s="6">
        <f t="shared" si="39"/>
        <v>1.262738999636337</v>
      </c>
      <c r="AO109" s="6">
        <f t="shared" si="40"/>
        <v>0.3959646452228036</v>
      </c>
      <c r="AP109" s="10">
        <f t="shared" si="41"/>
        <v>39.596464522280364</v>
      </c>
      <c r="AQ109" s="6">
        <f t="shared" si="42"/>
        <v>21</v>
      </c>
      <c r="AR109" s="11"/>
      <c r="AS109" s="6">
        <f t="shared" si="43"/>
        <v>21</v>
      </c>
      <c r="AT109" s="6">
        <f t="shared" si="53"/>
      </c>
      <c r="AU109" s="6">
        <f t="shared" si="44"/>
      </c>
      <c r="AV109" s="6" t="e">
        <f t="shared" si="45"/>
        <v>#NUM!</v>
      </c>
      <c r="AW109" s="6" t="e">
        <f t="shared" si="46"/>
        <v>#NUM!</v>
      </c>
      <c r="AX109" s="6" t="e">
        <f t="shared" si="47"/>
        <v>#NUM!</v>
      </c>
      <c r="AY109" s="6" t="e">
        <f t="shared" si="48"/>
        <v>#NUM!</v>
      </c>
      <c r="AZ109" s="6" t="e">
        <f t="shared" si="49"/>
        <v>#NUM!</v>
      </c>
      <c r="BA109" s="6" t="e">
        <f t="shared" si="50"/>
        <v>#NUM!</v>
      </c>
      <c r="BB109" s="8">
        <f t="shared" si="51"/>
      </c>
      <c r="CG109" s="12" t="s">
        <v>2</v>
      </c>
      <c r="CH109" s="5" t="s">
        <v>69</v>
      </c>
    </row>
    <row r="110" spans="38:86" ht="15">
      <c r="AL110" s="6">
        <f t="shared" si="52"/>
        <v>34.88320556529532</v>
      </c>
      <c r="AM110" s="6">
        <f t="shared" si="38"/>
        <v>-0.3352530189895213</v>
      </c>
      <c r="AN110" s="6">
        <f t="shared" si="39"/>
        <v>1.356053914453123</v>
      </c>
      <c r="AO110" s="6">
        <f t="shared" si="40"/>
        <v>0.3687169032668165</v>
      </c>
      <c r="AP110" s="10">
        <f t="shared" si="41"/>
        <v>36.87169032668165</v>
      </c>
      <c r="AQ110" s="6">
        <f t="shared" si="42"/>
        <v>21</v>
      </c>
      <c r="AR110" s="11"/>
      <c r="AS110" s="6">
        <f t="shared" si="43"/>
        <v>21</v>
      </c>
      <c r="AT110" s="6">
        <f t="shared" si="53"/>
      </c>
      <c r="AU110" s="6">
        <f t="shared" si="44"/>
      </c>
      <c r="AV110" s="6" t="e">
        <f t="shared" si="45"/>
        <v>#NUM!</v>
      </c>
      <c r="AW110" s="6" t="e">
        <f t="shared" si="46"/>
        <v>#NUM!</v>
      </c>
      <c r="AX110" s="6" t="e">
        <f t="shared" si="47"/>
        <v>#NUM!</v>
      </c>
      <c r="AY110" s="6" t="e">
        <f t="shared" si="48"/>
        <v>#NUM!</v>
      </c>
      <c r="AZ110" s="6" t="e">
        <f t="shared" si="49"/>
        <v>#NUM!</v>
      </c>
      <c r="BA110" s="6" t="e">
        <f t="shared" si="50"/>
        <v>#NUM!</v>
      </c>
      <c r="BB110" s="8">
        <f t="shared" si="51"/>
      </c>
      <c r="CH110" s="5" t="s">
        <v>70</v>
      </c>
    </row>
    <row r="111" spans="38:54" ht="15">
      <c r="AL111" s="6">
        <f t="shared" si="52"/>
        <v>35.65838791119077</v>
      </c>
      <c r="AM111" s="6">
        <f t="shared" si="38"/>
        <v>-0.4067001277351667</v>
      </c>
      <c r="AN111" s="6">
        <f t="shared" si="39"/>
        <v>1.4615020148872127</v>
      </c>
      <c r="AO111" s="6">
        <f t="shared" si="40"/>
        <v>0.3421137945120014</v>
      </c>
      <c r="AP111" s="10">
        <f t="shared" si="41"/>
        <v>34.211379451200145</v>
      </c>
      <c r="AQ111" s="6">
        <f t="shared" si="42"/>
        <v>21</v>
      </c>
      <c r="AR111" s="11"/>
      <c r="AS111" s="6">
        <f t="shared" si="43"/>
        <v>21</v>
      </c>
      <c r="AT111" s="6">
        <f t="shared" si="53"/>
      </c>
      <c r="AU111" s="6">
        <f t="shared" si="44"/>
      </c>
      <c r="AV111" s="6" t="e">
        <f t="shared" si="45"/>
        <v>#NUM!</v>
      </c>
      <c r="AW111" s="6" t="e">
        <f t="shared" si="46"/>
        <v>#NUM!</v>
      </c>
      <c r="AX111" s="6" t="e">
        <f t="shared" si="47"/>
        <v>#NUM!</v>
      </c>
      <c r="AY111" s="6" t="e">
        <f t="shared" si="48"/>
        <v>#NUM!</v>
      </c>
      <c r="AZ111" s="6" t="e">
        <f t="shared" si="49"/>
        <v>#NUM!</v>
      </c>
      <c r="BA111" s="6" t="e">
        <f t="shared" si="50"/>
        <v>#NUM!</v>
      </c>
      <c r="BB111" s="8">
        <f t="shared" si="51"/>
      </c>
    </row>
    <row r="112" spans="38:86" ht="15">
      <c r="AL112" s="6">
        <f t="shared" si="52"/>
        <v>36.433570257086224</v>
      </c>
      <c r="AM112" s="6">
        <f t="shared" si="38"/>
        <v>-0.4781472364808117</v>
      </c>
      <c r="AN112" s="6">
        <f t="shared" si="39"/>
        <v>1.5809164397883886</v>
      </c>
      <c r="AO112" s="6">
        <f t="shared" si="40"/>
        <v>0.3162722503328049</v>
      </c>
      <c r="AP112" s="10">
        <f t="shared" si="41"/>
        <v>31.627225033280492</v>
      </c>
      <c r="AQ112" s="6">
        <f t="shared" si="42"/>
        <v>21</v>
      </c>
      <c r="AR112" s="11"/>
      <c r="AS112" s="6">
        <f t="shared" si="43"/>
        <v>21</v>
      </c>
      <c r="AT112" s="6">
        <f t="shared" si="53"/>
      </c>
      <c r="AU112" s="6">
        <f t="shared" si="44"/>
      </c>
      <c r="AV112" s="6" t="e">
        <f t="shared" si="45"/>
        <v>#NUM!</v>
      </c>
      <c r="AW112" s="6" t="e">
        <f t="shared" si="46"/>
        <v>#NUM!</v>
      </c>
      <c r="AX112" s="6" t="e">
        <f t="shared" si="47"/>
        <v>#NUM!</v>
      </c>
      <c r="AY112" s="6" t="e">
        <f t="shared" si="48"/>
        <v>#NUM!</v>
      </c>
      <c r="AZ112" s="6" t="e">
        <f t="shared" si="49"/>
        <v>#NUM!</v>
      </c>
      <c r="BA112" s="6" t="e">
        <f t="shared" si="50"/>
        <v>#NUM!</v>
      </c>
      <c r="BB112" s="8">
        <f t="shared" si="51"/>
      </c>
      <c r="CG112" s="12" t="s">
        <v>71</v>
      </c>
      <c r="CH112" s="5" t="s">
        <v>72</v>
      </c>
    </row>
    <row r="113" spans="38:54" ht="15">
      <c r="AL113" s="6">
        <f t="shared" si="52"/>
        <v>37.208752602981676</v>
      </c>
      <c r="AM113" s="6">
        <f t="shared" si="38"/>
        <v>-0.5495943452264571</v>
      </c>
      <c r="AN113" s="6">
        <f t="shared" si="39"/>
        <v>1.716454045082935</v>
      </c>
      <c r="AO113" s="6">
        <f t="shared" si="40"/>
        <v>0.291298215313327</v>
      </c>
      <c r="AP113" s="10">
        <f t="shared" si="41"/>
        <v>29.129821531332702</v>
      </c>
      <c r="AQ113" s="6">
        <f t="shared" si="42"/>
        <v>21</v>
      </c>
      <c r="AR113" s="11"/>
      <c r="AS113" s="6">
        <f t="shared" si="43"/>
        <v>21</v>
      </c>
      <c r="AT113" s="6">
        <f t="shared" si="53"/>
      </c>
      <c r="AU113" s="6">
        <f t="shared" si="44"/>
      </c>
      <c r="AV113" s="6" t="e">
        <f t="shared" si="45"/>
        <v>#NUM!</v>
      </c>
      <c r="AW113" s="6" t="e">
        <f t="shared" si="46"/>
        <v>#NUM!</v>
      </c>
      <c r="AX113" s="6" t="e">
        <f t="shared" si="47"/>
        <v>#NUM!</v>
      </c>
      <c r="AY113" s="6" t="e">
        <f t="shared" si="48"/>
        <v>#NUM!</v>
      </c>
      <c r="AZ113" s="6" t="e">
        <f t="shared" si="49"/>
        <v>#NUM!</v>
      </c>
      <c r="BA113" s="6" t="e">
        <f t="shared" si="50"/>
        <v>#NUM!</v>
      </c>
      <c r="BB113" s="8">
        <f t="shared" si="51"/>
      </c>
    </row>
    <row r="114" spans="38:54" ht="15">
      <c r="AL114" s="6">
        <f t="shared" si="52"/>
        <v>37.98393494887713</v>
      </c>
      <c r="AM114" s="6">
        <f t="shared" si="38"/>
        <v>-0.6210414539721021</v>
      </c>
      <c r="AN114" s="6">
        <f t="shared" si="39"/>
        <v>1.8706595471412477</v>
      </c>
      <c r="AO114" s="6">
        <f t="shared" si="40"/>
        <v>0.2672854078467153</v>
      </c>
      <c r="AP114" s="10">
        <f t="shared" si="41"/>
        <v>26.72854078467153</v>
      </c>
      <c r="AQ114" s="6">
        <f t="shared" si="42"/>
        <v>21</v>
      </c>
      <c r="AR114" s="11"/>
      <c r="AS114" s="6">
        <f t="shared" si="43"/>
        <v>21</v>
      </c>
      <c r="AT114" s="6">
        <f t="shared" si="53"/>
      </c>
      <c r="AU114" s="6">
        <f t="shared" si="44"/>
      </c>
      <c r="AV114" s="6" t="e">
        <f t="shared" si="45"/>
        <v>#NUM!</v>
      </c>
      <c r="AW114" s="6" t="e">
        <f t="shared" si="46"/>
        <v>#NUM!</v>
      </c>
      <c r="AX114" s="6" t="e">
        <f t="shared" si="47"/>
        <v>#NUM!</v>
      </c>
      <c r="AY114" s="6" t="e">
        <f t="shared" si="48"/>
        <v>#NUM!</v>
      </c>
      <c r="AZ114" s="6" t="e">
        <f t="shared" si="49"/>
        <v>#NUM!</v>
      </c>
      <c r="BA114" s="6" t="e">
        <f t="shared" si="50"/>
        <v>#NUM!</v>
      </c>
      <c r="BB114" s="8">
        <f t="shared" si="51"/>
      </c>
    </row>
    <row r="115" spans="38:54" ht="15">
      <c r="AL115" s="6">
        <f t="shared" si="52"/>
        <v>38.75911729477258</v>
      </c>
      <c r="AM115" s="6">
        <f t="shared" si="38"/>
        <v>-0.6924885627177475</v>
      </c>
      <c r="AN115" s="6">
        <f t="shared" si="39"/>
        <v>2.0465436131061576</v>
      </c>
      <c r="AO115" s="6">
        <f t="shared" si="40"/>
        <v>0.24431436339688894</v>
      </c>
      <c r="AP115" s="10">
        <f t="shared" si="41"/>
        <v>24.431436339688894</v>
      </c>
      <c r="AQ115" s="6">
        <f t="shared" si="42"/>
        <v>21</v>
      </c>
      <c r="AR115" s="11">
        <f>AR105+(($AK$66-$AK$65)/10)</f>
        <v>38.75911729477256</v>
      </c>
      <c r="AS115" s="6">
        <f t="shared" si="43"/>
        <v>21</v>
      </c>
      <c r="AT115" s="6">
        <f t="shared" si="53"/>
      </c>
      <c r="AU115" s="6">
        <f t="shared" si="44"/>
      </c>
      <c r="AV115" s="6" t="e">
        <f t="shared" si="45"/>
        <v>#NUM!</v>
      </c>
      <c r="AW115" s="6" t="e">
        <f t="shared" si="46"/>
        <v>#NUM!</v>
      </c>
      <c r="AX115" s="6" t="e">
        <f t="shared" si="47"/>
        <v>#NUM!</v>
      </c>
      <c r="AY115" s="6" t="e">
        <f t="shared" si="48"/>
        <v>#NUM!</v>
      </c>
      <c r="AZ115" s="6" t="e">
        <f t="shared" si="49"/>
        <v>#NUM!</v>
      </c>
      <c r="BA115" s="6" t="e">
        <f t="shared" si="50"/>
        <v>#NUM!</v>
      </c>
      <c r="BB115" s="8">
        <f t="shared" si="51"/>
      </c>
    </row>
    <row r="116" spans="38:54" ht="15">
      <c r="AL116" s="6">
        <f t="shared" si="52"/>
        <v>39.53429964066803</v>
      </c>
      <c r="AM116" s="6">
        <f t="shared" si="38"/>
        <v>-0.7639356714633925</v>
      </c>
      <c r="AN116" s="6">
        <f t="shared" si="39"/>
        <v>2.247678190164869</v>
      </c>
      <c r="AO116" s="6">
        <f t="shared" si="40"/>
        <v>0.22245177365151392</v>
      </c>
      <c r="AP116" s="10">
        <f t="shared" si="41"/>
        <v>22.24517736515139</v>
      </c>
      <c r="AQ116" s="6">
        <f t="shared" si="42"/>
        <v>21</v>
      </c>
      <c r="AR116" s="11"/>
      <c r="AS116" s="6">
        <f t="shared" si="43"/>
        <v>21</v>
      </c>
      <c r="AT116" s="6">
        <f t="shared" si="53"/>
      </c>
      <c r="AU116" s="6">
        <f t="shared" si="44"/>
      </c>
      <c r="AV116" s="6" t="e">
        <f t="shared" si="45"/>
        <v>#NUM!</v>
      </c>
      <c r="AW116" s="6" t="e">
        <f t="shared" si="46"/>
        <v>#NUM!</v>
      </c>
      <c r="AX116" s="6" t="e">
        <f t="shared" si="47"/>
        <v>#NUM!</v>
      </c>
      <c r="AY116" s="6" t="e">
        <f t="shared" si="48"/>
        <v>#NUM!</v>
      </c>
      <c r="AZ116" s="6" t="e">
        <f t="shared" si="49"/>
        <v>#NUM!</v>
      </c>
      <c r="BA116" s="6" t="e">
        <f t="shared" si="50"/>
        <v>#NUM!</v>
      </c>
      <c r="BB116" s="8">
        <f t="shared" si="51"/>
      </c>
    </row>
    <row r="117" spans="38:54" ht="15">
      <c r="AL117" s="6">
        <f t="shared" si="52"/>
        <v>40.30948198656348</v>
      </c>
      <c r="AM117" s="6">
        <f t="shared" si="38"/>
        <v>-0.8353827802090374</v>
      </c>
      <c r="AN117" s="6">
        <f t="shared" si="39"/>
        <v>2.478313198941347</v>
      </c>
      <c r="AO117" s="6">
        <f t="shared" si="40"/>
        <v>0.20175012593790942</v>
      </c>
      <c r="AP117" s="10">
        <f t="shared" si="41"/>
        <v>20.175012593790942</v>
      </c>
      <c r="AQ117" s="6">
        <f t="shared" si="42"/>
        <v>21</v>
      </c>
      <c r="AR117" s="11"/>
      <c r="AS117" s="6">
        <f t="shared" si="43"/>
        <v>21</v>
      </c>
      <c r="AT117" s="6">
        <f t="shared" si="53"/>
      </c>
      <c r="AU117" s="6">
        <f t="shared" si="44"/>
      </c>
      <c r="AV117" s="6" t="e">
        <f t="shared" si="45"/>
        <v>#NUM!</v>
      </c>
      <c r="AW117" s="6" t="e">
        <f t="shared" si="46"/>
        <v>#NUM!</v>
      </c>
      <c r="AX117" s="6" t="e">
        <f t="shared" si="47"/>
        <v>#NUM!</v>
      </c>
      <c r="AY117" s="6" t="e">
        <f t="shared" si="48"/>
        <v>#NUM!</v>
      </c>
      <c r="AZ117" s="6" t="e">
        <f t="shared" si="49"/>
        <v>#NUM!</v>
      </c>
      <c r="BA117" s="6" t="e">
        <f t="shared" si="50"/>
        <v>#NUM!</v>
      </c>
      <c r="BB117" s="8">
        <f t="shared" si="51"/>
      </c>
    </row>
    <row r="118" spans="38:54" ht="15">
      <c r="AL118" s="6">
        <f t="shared" si="52"/>
        <v>41.084664332458935</v>
      </c>
      <c r="AM118" s="6">
        <f t="shared" si="38"/>
        <v>-0.9068298889546829</v>
      </c>
      <c r="AN118" s="6">
        <f t="shared" si="39"/>
        <v>2.7435197738632833</v>
      </c>
      <c r="AO118" s="6">
        <f t="shared" si="40"/>
        <v>0.1822476385128895</v>
      </c>
      <c r="AP118" s="10">
        <f t="shared" si="41"/>
        <v>18.224763851288948</v>
      </c>
      <c r="AQ118" s="6">
        <f t="shared" si="42"/>
        <v>21</v>
      </c>
      <c r="AR118" s="11"/>
      <c r="AS118" s="6">
        <f t="shared" si="43"/>
        <v>21</v>
      </c>
      <c r="AT118" s="6">
        <f t="shared" si="53"/>
      </c>
      <c r="AU118" s="6">
        <f t="shared" si="44"/>
      </c>
      <c r="AV118" s="6" t="e">
        <f t="shared" si="45"/>
        <v>#NUM!</v>
      </c>
      <c r="AW118" s="6" t="e">
        <f t="shared" si="46"/>
        <v>#NUM!</v>
      </c>
      <c r="AX118" s="6" t="e">
        <f t="shared" si="47"/>
        <v>#NUM!</v>
      </c>
      <c r="AY118" s="6" t="e">
        <f t="shared" si="48"/>
        <v>#NUM!</v>
      </c>
      <c r="AZ118" s="6" t="e">
        <f t="shared" si="49"/>
        <v>#NUM!</v>
      </c>
      <c r="BA118" s="6" t="e">
        <f t="shared" si="50"/>
        <v>#NUM!</v>
      </c>
      <c r="BB118" s="8">
        <f t="shared" si="51"/>
      </c>
    </row>
    <row r="119" spans="38:54" ht="15">
      <c r="AL119" s="6">
        <f t="shared" si="52"/>
        <v>41.85984667835439</v>
      </c>
      <c r="AM119" s="6">
        <f t="shared" si="38"/>
        <v>-0.9782769977003278</v>
      </c>
      <c r="AN119" s="6">
        <f t="shared" si="39"/>
        <v>3.049366579470902</v>
      </c>
      <c r="AO119" s="6">
        <f t="shared" si="40"/>
        <v>0.16396847901663414</v>
      </c>
      <c r="AP119" s="10">
        <f t="shared" si="41"/>
        <v>16.396847901663413</v>
      </c>
      <c r="AQ119" s="6">
        <f t="shared" si="42"/>
        <v>21</v>
      </c>
      <c r="AR119" s="11"/>
      <c r="AS119" s="6">
        <f t="shared" si="43"/>
        <v>21</v>
      </c>
      <c r="AT119" s="6">
        <f t="shared" si="53"/>
      </c>
      <c r="AU119" s="6">
        <f t="shared" si="44"/>
      </c>
      <c r="AV119" s="6" t="e">
        <f t="shared" si="45"/>
        <v>#NUM!</v>
      </c>
      <c r="AW119" s="6" t="e">
        <f t="shared" si="46"/>
        <v>#NUM!</v>
      </c>
      <c r="AX119" s="6" t="e">
        <f t="shared" si="47"/>
        <v>#NUM!</v>
      </c>
      <c r="AY119" s="6" t="e">
        <f t="shared" si="48"/>
        <v>#NUM!</v>
      </c>
      <c r="AZ119" s="6" t="e">
        <f t="shared" si="49"/>
        <v>#NUM!</v>
      </c>
      <c r="BA119" s="6" t="e">
        <f t="shared" si="50"/>
        <v>#NUM!</v>
      </c>
      <c r="BB119" s="8">
        <f t="shared" si="51"/>
      </c>
    </row>
    <row r="120" spans="38:54" ht="15">
      <c r="AL120" s="6">
        <f t="shared" si="52"/>
        <v>42.63502902424984</v>
      </c>
      <c r="AM120" s="6">
        <f t="shared" si="38"/>
        <v>-1.0497241064459732</v>
      </c>
      <c r="AN120" s="6">
        <f t="shared" si="39"/>
        <v>3.4031374492944426</v>
      </c>
      <c r="AO120" s="6">
        <f t="shared" si="40"/>
        <v>0.14692324581355443</v>
      </c>
      <c r="AP120" s="10">
        <f t="shared" si="41"/>
        <v>14.692324581355443</v>
      </c>
      <c r="AQ120" s="6">
        <f t="shared" si="42"/>
        <v>21</v>
      </c>
      <c r="AR120" s="11"/>
      <c r="AS120" s="6">
        <f t="shared" si="43"/>
        <v>21</v>
      </c>
      <c r="AT120" s="6">
        <f t="shared" si="53"/>
      </c>
      <c r="AU120" s="6">
        <f t="shared" si="44"/>
      </c>
      <c r="AV120" s="6" t="e">
        <f t="shared" si="45"/>
        <v>#NUM!</v>
      </c>
      <c r="AW120" s="6" t="e">
        <f t="shared" si="46"/>
        <v>#NUM!</v>
      </c>
      <c r="AX120" s="6" t="e">
        <f t="shared" si="47"/>
        <v>#NUM!</v>
      </c>
      <c r="AY120" s="6" t="e">
        <f t="shared" si="48"/>
        <v>#NUM!</v>
      </c>
      <c r="AZ120" s="6" t="e">
        <f t="shared" si="49"/>
        <v>#NUM!</v>
      </c>
      <c r="BA120" s="6" t="e">
        <f t="shared" si="50"/>
        <v>#NUM!</v>
      </c>
      <c r="BB120" s="8">
        <f t="shared" si="51"/>
      </c>
    </row>
    <row r="121" spans="38:54" ht="15">
      <c r="AL121" s="6">
        <f t="shared" si="52"/>
        <v>43.41021137014529</v>
      </c>
      <c r="AM121" s="6">
        <f t="shared" si="38"/>
        <v>-1.1211712151916187</v>
      </c>
      <c r="AN121" s="6">
        <f t="shared" si="39"/>
        <v>3.8136007914148102</v>
      </c>
      <c r="AO121" s="6">
        <f t="shared" si="40"/>
        <v>0.13110968539905943</v>
      </c>
      <c r="AP121" s="10">
        <f t="shared" si="41"/>
        <v>13.110968539905944</v>
      </c>
      <c r="AQ121" s="6">
        <f t="shared" si="42"/>
        <v>21</v>
      </c>
      <c r="AR121" s="11"/>
      <c r="AS121" s="6">
        <f t="shared" si="43"/>
        <v>21</v>
      </c>
      <c r="AT121" s="6">
        <f t="shared" si="53"/>
      </c>
      <c r="AU121" s="6">
        <f t="shared" si="44"/>
      </c>
      <c r="AV121" s="6" t="e">
        <f t="shared" si="45"/>
        <v>#NUM!</v>
      </c>
      <c r="AW121" s="6" t="e">
        <f t="shared" si="46"/>
        <v>#NUM!</v>
      </c>
      <c r="AX121" s="6" t="e">
        <f t="shared" si="47"/>
        <v>#NUM!</v>
      </c>
      <c r="AY121" s="6" t="e">
        <f t="shared" si="48"/>
        <v>#NUM!</v>
      </c>
      <c r="AZ121" s="6" t="e">
        <f t="shared" si="49"/>
        <v>#NUM!</v>
      </c>
      <c r="BA121" s="6" t="e">
        <f t="shared" si="50"/>
        <v>#NUM!</v>
      </c>
      <c r="BB121" s="8">
        <f t="shared" si="51"/>
      </c>
    </row>
    <row r="122" spans="38:54" ht="15">
      <c r="AL122" s="6">
        <f t="shared" si="52"/>
        <v>44.18539371604074</v>
      </c>
      <c r="AM122" s="6">
        <f t="shared" si="38"/>
        <v>-1.1926183239372632</v>
      </c>
      <c r="AN122" s="6">
        <f t="shared" si="39"/>
        <v>4.291344023566671</v>
      </c>
      <c r="AO122" s="6">
        <f t="shared" si="40"/>
        <v>0.11651361374295843</v>
      </c>
      <c r="AP122" s="10">
        <f t="shared" si="41"/>
        <v>11.651361374295844</v>
      </c>
      <c r="AQ122" s="6">
        <f t="shared" si="42"/>
        <v>21</v>
      </c>
      <c r="AR122" s="11"/>
      <c r="AS122" s="6">
        <f t="shared" si="43"/>
        <v>21</v>
      </c>
      <c r="AT122" s="6">
        <f t="shared" si="53"/>
      </c>
      <c r="AU122" s="6">
        <f t="shared" si="44"/>
      </c>
      <c r="AV122" s="6" t="e">
        <f t="shared" si="45"/>
        <v>#NUM!</v>
      </c>
      <c r="AW122" s="6" t="e">
        <f t="shared" si="46"/>
        <v>#NUM!</v>
      </c>
      <c r="AX122" s="6" t="e">
        <f t="shared" si="47"/>
        <v>#NUM!</v>
      </c>
      <c r="AY122" s="6" t="e">
        <f t="shared" si="48"/>
        <v>#NUM!</v>
      </c>
      <c r="AZ122" s="6" t="e">
        <f t="shared" si="49"/>
        <v>#NUM!</v>
      </c>
      <c r="BA122" s="6" t="e">
        <f t="shared" si="50"/>
        <v>#NUM!</v>
      </c>
      <c r="BB122" s="8">
        <f t="shared" si="51"/>
      </c>
    </row>
    <row r="123" spans="38:54" ht="15">
      <c r="AL123" s="6">
        <f t="shared" si="52"/>
        <v>44.960576061936194</v>
      </c>
      <c r="AM123" s="6">
        <f t="shared" si="38"/>
        <v>-1.2640654326829086</v>
      </c>
      <c r="AN123" s="6">
        <f t="shared" si="39"/>
        <v>4.849189925830302</v>
      </c>
      <c r="AO123" s="6">
        <f t="shared" si="40"/>
        <v>0.1031100055158981</v>
      </c>
      <c r="AP123" s="10">
        <f t="shared" si="41"/>
        <v>10.31100055158981</v>
      </c>
      <c r="AQ123" s="6">
        <f t="shared" si="42"/>
        <v>21</v>
      </c>
      <c r="AR123" s="11"/>
      <c r="AS123" s="6">
        <f t="shared" si="43"/>
        <v>21</v>
      </c>
      <c r="AT123" s="6">
        <f t="shared" si="53"/>
      </c>
      <c r="AU123" s="6">
        <f t="shared" si="44"/>
      </c>
      <c r="AV123" s="6" t="e">
        <f t="shared" si="45"/>
        <v>#NUM!</v>
      </c>
      <c r="AW123" s="6" t="e">
        <f t="shared" si="46"/>
        <v>#NUM!</v>
      </c>
      <c r="AX123" s="6" t="e">
        <f t="shared" si="47"/>
        <v>#NUM!</v>
      </c>
      <c r="AY123" s="6" t="e">
        <f t="shared" si="48"/>
        <v>#NUM!</v>
      </c>
      <c r="AZ123" s="6" t="e">
        <f t="shared" si="49"/>
        <v>#NUM!</v>
      </c>
      <c r="BA123" s="6" t="e">
        <f t="shared" si="50"/>
        <v>#NUM!</v>
      </c>
      <c r="BB123" s="8">
        <f t="shared" si="51"/>
      </c>
    </row>
    <row r="124" spans="38:54" ht="15">
      <c r="AL124" s="6">
        <f t="shared" si="52"/>
        <v>45.735758407831646</v>
      </c>
      <c r="AM124" s="6">
        <f t="shared" si="38"/>
        <v>-1.335512541428554</v>
      </c>
      <c r="AN124" s="6">
        <f t="shared" si="39"/>
        <v>5.502716473681311</v>
      </c>
      <c r="AO124" s="6">
        <f t="shared" si="40"/>
        <v>0.09086421268321332</v>
      </c>
      <c r="AP124" s="10">
        <f t="shared" si="41"/>
        <v>9.086421268321331</v>
      </c>
      <c r="AQ124" s="6">
        <f t="shared" si="42"/>
        <v>21</v>
      </c>
      <c r="AR124" s="11"/>
      <c r="AS124" s="6">
        <f t="shared" si="43"/>
        <v>21</v>
      </c>
      <c r="AT124" s="6">
        <f t="shared" si="53"/>
      </c>
      <c r="AU124" s="6">
        <f t="shared" si="44"/>
      </c>
      <c r="AV124" s="6" t="e">
        <f t="shared" si="45"/>
        <v>#NUM!</v>
      </c>
      <c r="AW124" s="6" t="e">
        <f t="shared" si="46"/>
        <v>#NUM!</v>
      </c>
      <c r="AX124" s="6" t="e">
        <f t="shared" si="47"/>
        <v>#NUM!</v>
      </c>
      <c r="AY124" s="6" t="e">
        <f t="shared" si="48"/>
        <v>#NUM!</v>
      </c>
      <c r="AZ124" s="6" t="e">
        <f t="shared" si="49"/>
        <v>#NUM!</v>
      </c>
      <c r="BA124" s="6" t="e">
        <f t="shared" si="50"/>
        <v>#NUM!</v>
      </c>
      <c r="BB124" s="8">
        <f t="shared" si="51"/>
      </c>
    </row>
    <row r="125" spans="38:54" ht="15">
      <c r="AL125" s="6">
        <f t="shared" si="52"/>
        <v>46.5109407537271</v>
      </c>
      <c r="AM125" s="6">
        <f t="shared" si="38"/>
        <v>-1.4069596501741986</v>
      </c>
      <c r="AN125" s="6">
        <f t="shared" si="39"/>
        <v>6.270907758338355</v>
      </c>
      <c r="AO125" s="6">
        <f t="shared" si="40"/>
        <v>0.07973327295958954</v>
      </c>
      <c r="AP125" s="10">
        <f t="shared" si="41"/>
        <v>7.9733272959589545</v>
      </c>
      <c r="AQ125" s="6">
        <f t="shared" si="42"/>
        <v>21</v>
      </c>
      <c r="AR125" s="11">
        <f>AR115+(($AK$66-$AK$65)/10)</f>
        <v>46.51094075372707</v>
      </c>
      <c r="AS125" s="6">
        <f t="shared" si="43"/>
        <v>21</v>
      </c>
      <c r="AT125" s="6">
        <f t="shared" si="53"/>
      </c>
      <c r="AU125" s="6">
        <f t="shared" si="44"/>
      </c>
      <c r="AV125" s="6" t="e">
        <f t="shared" si="45"/>
        <v>#NUM!</v>
      </c>
      <c r="AW125" s="6" t="e">
        <f t="shared" si="46"/>
        <v>#NUM!</v>
      </c>
      <c r="AX125" s="6" t="e">
        <f t="shared" si="47"/>
        <v>#NUM!</v>
      </c>
      <c r="AY125" s="6" t="e">
        <f t="shared" si="48"/>
        <v>#NUM!</v>
      </c>
      <c r="AZ125" s="6" t="e">
        <f t="shared" si="49"/>
        <v>#NUM!</v>
      </c>
      <c r="BA125" s="6" t="e">
        <f t="shared" si="50"/>
        <v>#NUM!</v>
      </c>
      <c r="BB125" s="8">
        <f t="shared" si="51"/>
      </c>
    </row>
    <row r="126" spans="38:54" ht="15">
      <c r="AL126" s="6">
        <f t="shared" si="52"/>
        <v>47.28612309962255</v>
      </c>
      <c r="AM126" s="6">
        <f t="shared" si="38"/>
        <v>-1.478406758919844</v>
      </c>
      <c r="AN126" s="6">
        <f t="shared" si="39"/>
        <v>7.176971437041738</v>
      </c>
      <c r="AO126" s="6">
        <f t="shared" si="40"/>
        <v>0.0696672690404484</v>
      </c>
      <c r="AP126" s="10">
        <f t="shared" si="41"/>
        <v>6.96672690404484</v>
      </c>
      <c r="AQ126" s="6">
        <f t="shared" si="42"/>
        <v>21</v>
      </c>
      <c r="AR126" s="11"/>
      <c r="AS126" s="6">
        <f t="shared" si="43"/>
        <v>21</v>
      </c>
      <c r="AT126" s="6">
        <f t="shared" si="53"/>
      </c>
      <c r="AU126" s="6">
        <f t="shared" si="44"/>
      </c>
      <c r="AV126" s="6" t="e">
        <f t="shared" si="45"/>
        <v>#NUM!</v>
      </c>
      <c r="AW126" s="6" t="e">
        <f t="shared" si="46"/>
        <v>#NUM!</v>
      </c>
      <c r="AX126" s="6" t="e">
        <f t="shared" si="47"/>
        <v>#NUM!</v>
      </c>
      <c r="AY126" s="6" t="e">
        <f t="shared" si="48"/>
        <v>#NUM!</v>
      </c>
      <c r="AZ126" s="6" t="e">
        <f t="shared" si="49"/>
        <v>#NUM!</v>
      </c>
      <c r="BA126" s="6" t="e">
        <f t="shared" si="50"/>
        <v>#NUM!</v>
      </c>
      <c r="BB126" s="8">
        <f t="shared" si="51"/>
      </c>
    </row>
    <row r="127" spans="38:54" ht="15">
      <c r="AL127" s="6">
        <f t="shared" si="52"/>
        <v>48.061305445518</v>
      </c>
      <c r="AM127" s="6">
        <f t="shared" si="38"/>
        <v>-1.5498538676654894</v>
      </c>
      <c r="AN127" s="6">
        <f t="shared" si="39"/>
        <v>8.249368341380093</v>
      </c>
      <c r="AO127" s="6">
        <f t="shared" si="40"/>
        <v>0.060610701245078835</v>
      </c>
      <c r="AP127" s="10">
        <f t="shared" si="41"/>
        <v>6.061070124507884</v>
      </c>
      <c r="AQ127" s="6">
        <f t="shared" si="42"/>
        <v>21</v>
      </c>
      <c r="AR127" s="11"/>
      <c r="AS127" s="6">
        <f t="shared" si="43"/>
        <v>21</v>
      </c>
      <c r="AT127" s="6">
        <f t="shared" si="53"/>
      </c>
      <c r="AU127" s="6">
        <f t="shared" si="44"/>
      </c>
      <c r="AV127" s="6" t="e">
        <f t="shared" si="45"/>
        <v>#NUM!</v>
      </c>
      <c r="AW127" s="6" t="e">
        <f t="shared" si="46"/>
        <v>#NUM!</v>
      </c>
      <c r="AX127" s="6" t="e">
        <f t="shared" si="47"/>
        <v>#NUM!</v>
      </c>
      <c r="AY127" s="6" t="e">
        <f t="shared" si="48"/>
        <v>#NUM!</v>
      </c>
      <c r="AZ127" s="6" t="e">
        <f t="shared" si="49"/>
        <v>#NUM!</v>
      </c>
      <c r="BA127" s="6" t="e">
        <f t="shared" si="50"/>
        <v>#NUM!</v>
      </c>
      <c r="BB127" s="8">
        <f t="shared" si="51"/>
      </c>
    </row>
    <row r="128" spans="38:54" ht="15">
      <c r="AL128" s="6">
        <f t="shared" si="52"/>
        <v>48.836487791413454</v>
      </c>
      <c r="AM128" s="6">
        <f t="shared" si="38"/>
        <v>-1.6213009764111348</v>
      </c>
      <c r="AN128" s="6">
        <f t="shared" si="39"/>
        <v>9.523113147344928</v>
      </c>
      <c r="AO128" s="6">
        <f t="shared" si="40"/>
        <v>0.052503839055971</v>
      </c>
      <c r="AP128" s="10">
        <f t="shared" si="41"/>
        <v>5.250383905597101</v>
      </c>
      <c r="AQ128" s="6">
        <f t="shared" si="42"/>
        <v>21</v>
      </c>
      <c r="AR128" s="11"/>
      <c r="AS128" s="6">
        <f t="shared" si="43"/>
        <v>21</v>
      </c>
      <c r="AT128" s="6">
        <f t="shared" si="53"/>
      </c>
      <c r="AU128" s="6">
        <f t="shared" si="44"/>
      </c>
      <c r="AV128" s="6" t="e">
        <f t="shared" si="45"/>
        <v>#NUM!</v>
      </c>
      <c r="AW128" s="6" t="e">
        <f t="shared" si="46"/>
        <v>#NUM!</v>
      </c>
      <c r="AX128" s="6" t="e">
        <f t="shared" si="47"/>
        <v>#NUM!</v>
      </c>
      <c r="AY128" s="6" t="e">
        <f t="shared" si="48"/>
        <v>#NUM!</v>
      </c>
      <c r="AZ128" s="6" t="e">
        <f t="shared" si="49"/>
        <v>#NUM!</v>
      </c>
      <c r="BA128" s="6" t="e">
        <f t="shared" si="50"/>
        <v>#NUM!</v>
      </c>
      <c r="BB128" s="8">
        <f t="shared" si="51"/>
      </c>
    </row>
    <row r="129" spans="38:54" ht="15">
      <c r="AL129" s="6">
        <f t="shared" si="52"/>
        <v>49.611670137308906</v>
      </c>
      <c r="AM129" s="6">
        <f aca="true" t="shared" si="54" ref="AM129:AM143">$F$11+$F$9*AL129</f>
        <v>-1.6927480851567793</v>
      </c>
      <c r="AN129" s="6">
        <f aca="true" t="shared" si="55" ref="AN129:AN143">(((((0.000005383*ABS(AM129)+0.0000488906*ABS(AM129)+0.0000380036)*ABS(AM129)+0.003277626)*ABS(AM129)+0.02114101)*ABS(AM129)+0.04986735)*ABS(AM129)+1)^16</f>
        <v>11.04142236057385</v>
      </c>
      <c r="AO129" s="6">
        <f aca="true" t="shared" si="56" ref="AO129:AO143">IF(AM129&gt;=0,(1-0.5/AN129),1-(1-0.5/AN129))</f>
        <v>0.045284020814689074</v>
      </c>
      <c r="AP129" s="10">
        <f aca="true" t="shared" si="57" ref="AP129:AP143">AO129*100</f>
        <v>4.528402081468908</v>
      </c>
      <c r="AQ129" s="6">
        <f aca="true" t="shared" si="58" ref="AQ129:AQ143">IF((AL129&lt;MAX($A$4:$A$23)),VLOOKUP(AL129,$A$4:$B$23,1),MAX($A$4:$A$23))</f>
        <v>21</v>
      </c>
      <c r="AR129" s="11"/>
      <c r="AS129" s="6">
        <f aca="true" t="shared" si="59" ref="AS129:AS143">IF(ISERR(AQ129),10000000,AQ129)</f>
        <v>21</v>
      </c>
      <c r="AT129" s="6">
        <f t="shared" si="53"/>
      </c>
      <c r="AU129" s="6">
        <f aca="true" t="shared" si="60" ref="AU129:AU142">IF(AT129&gt;=50,100-AT129,AT129)</f>
      </c>
      <c r="AV129" s="6" t="e">
        <f aca="true" t="shared" si="61" ref="AV129:AV142">SQRT(-2*LN(AU129/100))</f>
        <v>#NUM!</v>
      </c>
      <c r="AW129" s="6" t="e">
        <f aca="true" t="shared" si="62" ref="AW129:AW142">(((0.010328*AV129+0.802853)*AV129)+2.515517)</f>
        <v>#NUM!</v>
      </c>
      <c r="AX129" s="6" t="e">
        <f aca="true" t="shared" si="63" ref="AX129:AX142">(((0.001308*AV129+0.189269)*AV129+1.432788)*AV129+1)</f>
        <v>#NUM!</v>
      </c>
      <c r="AY129" s="6" t="e">
        <f aca="true" t="shared" si="64" ref="AY129:AY142">AW129/AX129</f>
        <v>#NUM!</v>
      </c>
      <c r="AZ129" s="6" t="e">
        <f aca="true" t="shared" si="65" ref="AZ129:AZ142">AV129-AY129</f>
        <v>#NUM!</v>
      </c>
      <c r="BA129" s="6" t="e">
        <f aca="true" t="shared" si="66" ref="BA129:BA142">IF(ISNA(AZ129),0,IF(AT129&gt;50,AZ129,-AZ129))</f>
        <v>#NUM!</v>
      </c>
      <c r="BB129" s="8">
        <f aca="true" t="shared" si="67" ref="BB129:BB142">IF(ISERR(BA129),"",BA129)</f>
      </c>
    </row>
    <row r="130" spans="38:54" ht="15">
      <c r="AL130" s="6">
        <f aca="true" t="shared" si="68" ref="AL130:AL143">AL129+(($AK$66-$AK$65)/100)</f>
        <v>50.38685248320436</v>
      </c>
      <c r="AM130" s="6">
        <f t="shared" si="54"/>
        <v>-1.7641951939024247</v>
      </c>
      <c r="AN130" s="6">
        <f t="shared" si="55"/>
        <v>12.857808605882294</v>
      </c>
      <c r="AO130" s="6">
        <f t="shared" si="56"/>
        <v>0.03888687530869417</v>
      </c>
      <c r="AP130" s="10">
        <f t="shared" si="57"/>
        <v>3.888687530869417</v>
      </c>
      <c r="AQ130" s="6">
        <f t="shared" si="58"/>
        <v>21</v>
      </c>
      <c r="AR130" s="11"/>
      <c r="AS130" s="6">
        <f t="shared" si="59"/>
        <v>21</v>
      </c>
      <c r="AT130" s="6">
        <f aca="true" t="shared" si="69" ref="AT130:AT142">IF(AS130=AS129,"",VLOOKUP(AS130,$A$4:$B$23,2))</f>
      </c>
      <c r="AU130" s="6">
        <f t="shared" si="60"/>
      </c>
      <c r="AV130" s="6" t="e">
        <f t="shared" si="61"/>
        <v>#NUM!</v>
      </c>
      <c r="AW130" s="6" t="e">
        <f t="shared" si="62"/>
        <v>#NUM!</v>
      </c>
      <c r="AX130" s="6" t="e">
        <f t="shared" si="63"/>
        <v>#NUM!</v>
      </c>
      <c r="AY130" s="6" t="e">
        <f t="shared" si="64"/>
        <v>#NUM!</v>
      </c>
      <c r="AZ130" s="6" t="e">
        <f t="shared" si="65"/>
        <v>#NUM!</v>
      </c>
      <c r="BA130" s="6" t="e">
        <f t="shared" si="66"/>
        <v>#NUM!</v>
      </c>
      <c r="BB130" s="8">
        <f t="shared" si="67"/>
      </c>
    </row>
    <row r="131" spans="38:54" ht="15">
      <c r="AL131" s="6">
        <f t="shared" si="68"/>
        <v>51.16203482909981</v>
      </c>
      <c r="AM131" s="6">
        <f t="shared" si="54"/>
        <v>-1.8356423026480702</v>
      </c>
      <c r="AN131" s="6">
        <f t="shared" si="55"/>
        <v>15.038750084246118</v>
      </c>
      <c r="AO131" s="6">
        <f t="shared" si="56"/>
        <v>0.03324744391648449</v>
      </c>
      <c r="AP131" s="10">
        <f t="shared" si="57"/>
        <v>3.3247443916484487</v>
      </c>
      <c r="AQ131" s="6">
        <f t="shared" si="58"/>
        <v>21</v>
      </c>
      <c r="AR131" s="11"/>
      <c r="AS131" s="6">
        <f t="shared" si="59"/>
        <v>21</v>
      </c>
      <c r="AT131" s="6">
        <f t="shared" si="69"/>
      </c>
      <c r="AU131" s="6">
        <f t="shared" si="60"/>
      </c>
      <c r="AV131" s="6" t="e">
        <f t="shared" si="61"/>
        <v>#NUM!</v>
      </c>
      <c r="AW131" s="6" t="e">
        <f t="shared" si="62"/>
        <v>#NUM!</v>
      </c>
      <c r="AX131" s="6" t="e">
        <f t="shared" si="63"/>
        <v>#NUM!</v>
      </c>
      <c r="AY131" s="6" t="e">
        <f t="shared" si="64"/>
        <v>#NUM!</v>
      </c>
      <c r="AZ131" s="6" t="e">
        <f t="shared" si="65"/>
        <v>#NUM!</v>
      </c>
      <c r="BA131" s="6" t="e">
        <f t="shared" si="66"/>
        <v>#NUM!</v>
      </c>
      <c r="BB131" s="8">
        <f t="shared" si="67"/>
      </c>
    </row>
    <row r="132" spans="38:54" ht="15">
      <c r="AL132" s="6">
        <f t="shared" si="68"/>
        <v>51.93721717499526</v>
      </c>
      <c r="AM132" s="6">
        <f t="shared" si="54"/>
        <v>-1.9070894113937147</v>
      </c>
      <c r="AN132" s="6">
        <f t="shared" si="55"/>
        <v>17.66710342053176</v>
      </c>
      <c r="AO132" s="6">
        <f t="shared" si="56"/>
        <v>0.028301187132856565</v>
      </c>
      <c r="AP132" s="10">
        <f t="shared" si="57"/>
        <v>2.8301187132856565</v>
      </c>
      <c r="AQ132" s="6">
        <f t="shared" si="58"/>
        <v>21</v>
      </c>
      <c r="AR132" s="11"/>
      <c r="AS132" s="6">
        <f t="shared" si="59"/>
        <v>21</v>
      </c>
      <c r="AT132" s="6">
        <f t="shared" si="69"/>
      </c>
      <c r="AU132" s="6">
        <f t="shared" si="60"/>
      </c>
      <c r="AV132" s="6" t="e">
        <f t="shared" si="61"/>
        <v>#NUM!</v>
      </c>
      <c r="AW132" s="6" t="e">
        <f t="shared" si="62"/>
        <v>#NUM!</v>
      </c>
      <c r="AX132" s="6" t="e">
        <f t="shared" si="63"/>
        <v>#NUM!</v>
      </c>
      <c r="AY132" s="6" t="e">
        <f t="shared" si="64"/>
        <v>#NUM!</v>
      </c>
      <c r="AZ132" s="6" t="e">
        <f t="shared" si="65"/>
        <v>#NUM!</v>
      </c>
      <c r="BA132" s="6" t="e">
        <f t="shared" si="66"/>
        <v>#NUM!</v>
      </c>
      <c r="BB132" s="8">
        <f t="shared" si="67"/>
      </c>
    </row>
    <row r="133" spans="38:54" ht="15">
      <c r="AL133" s="6">
        <f t="shared" si="68"/>
        <v>52.71239952089071</v>
      </c>
      <c r="AM133" s="6">
        <f t="shared" si="54"/>
        <v>-1.97853652013936</v>
      </c>
      <c r="AN133" s="6">
        <f t="shared" si="55"/>
        <v>20.84648012423616</v>
      </c>
      <c r="AO133" s="6">
        <f t="shared" si="56"/>
        <v>0.023984864448108878</v>
      </c>
      <c r="AP133" s="10">
        <f t="shared" si="57"/>
        <v>2.398486444810888</v>
      </c>
      <c r="AQ133" s="6">
        <f t="shared" si="58"/>
        <v>21</v>
      </c>
      <c r="AR133" s="11"/>
      <c r="AS133" s="6">
        <f t="shared" si="59"/>
        <v>21</v>
      </c>
      <c r="AT133" s="6">
        <f t="shared" si="69"/>
      </c>
      <c r="AU133" s="6">
        <f t="shared" si="60"/>
      </c>
      <c r="AV133" s="6" t="e">
        <f t="shared" si="61"/>
        <v>#NUM!</v>
      </c>
      <c r="AW133" s="6" t="e">
        <f t="shared" si="62"/>
        <v>#NUM!</v>
      </c>
      <c r="AX133" s="6" t="e">
        <f t="shared" si="63"/>
        <v>#NUM!</v>
      </c>
      <c r="AY133" s="6" t="e">
        <f t="shared" si="64"/>
        <v>#NUM!</v>
      </c>
      <c r="AZ133" s="6" t="e">
        <f t="shared" si="65"/>
        <v>#NUM!</v>
      </c>
      <c r="BA133" s="6" t="e">
        <f t="shared" si="66"/>
        <v>#NUM!</v>
      </c>
      <c r="BB133" s="8">
        <f t="shared" si="67"/>
      </c>
    </row>
    <row r="134" spans="38:54" ht="15">
      <c r="AL134" s="6">
        <f t="shared" si="68"/>
        <v>53.487581866786165</v>
      </c>
      <c r="AM134" s="6">
        <f t="shared" si="54"/>
        <v>-2.0499836288850055</v>
      </c>
      <c r="AN134" s="6">
        <f t="shared" si="55"/>
        <v>24.70687576798966</v>
      </c>
      <c r="AO134" s="6">
        <f t="shared" si="56"/>
        <v>0.020237281503952875</v>
      </c>
      <c r="AP134" s="10">
        <f t="shared" si="57"/>
        <v>2.0237281503952875</v>
      </c>
      <c r="AQ134" s="6">
        <f t="shared" si="58"/>
        <v>21</v>
      </c>
      <c r="AR134" s="11"/>
      <c r="AS134" s="6">
        <f t="shared" si="59"/>
        <v>21</v>
      </c>
      <c r="AT134" s="6">
        <f t="shared" si="69"/>
      </c>
      <c r="AU134" s="6">
        <f t="shared" si="60"/>
      </c>
      <c r="AV134" s="6" t="e">
        <f t="shared" si="61"/>
        <v>#NUM!</v>
      </c>
      <c r="AW134" s="6" t="e">
        <f t="shared" si="62"/>
        <v>#NUM!</v>
      </c>
      <c r="AX134" s="6" t="e">
        <f t="shared" si="63"/>
        <v>#NUM!</v>
      </c>
      <c r="AY134" s="6" t="e">
        <f t="shared" si="64"/>
        <v>#NUM!</v>
      </c>
      <c r="AZ134" s="6" t="e">
        <f t="shared" si="65"/>
        <v>#NUM!</v>
      </c>
      <c r="BA134" s="6" t="e">
        <f t="shared" si="66"/>
        <v>#NUM!</v>
      </c>
      <c r="BB134" s="8">
        <f t="shared" si="67"/>
      </c>
    </row>
    <row r="135" spans="38:54" ht="15">
      <c r="AL135" s="6">
        <f t="shared" si="68"/>
        <v>54.26276421268162</v>
      </c>
      <c r="AM135" s="6">
        <f t="shared" si="54"/>
        <v>-2.121430737630651</v>
      </c>
      <c r="AN135" s="6">
        <f t="shared" si="55"/>
        <v>29.41193248381548</v>
      </c>
      <c r="AO135" s="6">
        <f t="shared" si="56"/>
        <v>0.016999903024907836</v>
      </c>
      <c r="AP135" s="10">
        <f t="shared" si="57"/>
        <v>1.6999903024907836</v>
      </c>
      <c r="AQ135" s="6">
        <f t="shared" si="58"/>
        <v>21</v>
      </c>
      <c r="AR135" s="11">
        <f>AR125+(($AK$66-$AK$65)/10)</f>
        <v>54.26276421268158</v>
      </c>
      <c r="AS135" s="6">
        <f t="shared" si="59"/>
        <v>21</v>
      </c>
      <c r="AT135" s="6">
        <f t="shared" si="69"/>
      </c>
      <c r="AU135" s="6">
        <f t="shared" si="60"/>
      </c>
      <c r="AV135" s="6" t="e">
        <f t="shared" si="61"/>
        <v>#NUM!</v>
      </c>
      <c r="AW135" s="6" t="e">
        <f t="shared" si="62"/>
        <v>#NUM!</v>
      </c>
      <c r="AX135" s="6" t="e">
        <f t="shared" si="63"/>
        <v>#NUM!</v>
      </c>
      <c r="AY135" s="6" t="e">
        <f t="shared" si="64"/>
        <v>#NUM!</v>
      </c>
      <c r="AZ135" s="6" t="e">
        <f t="shared" si="65"/>
        <v>#NUM!</v>
      </c>
      <c r="BA135" s="6" t="e">
        <f t="shared" si="66"/>
        <v>#NUM!</v>
      </c>
      <c r="BB135" s="8">
        <f t="shared" si="67"/>
      </c>
    </row>
    <row r="136" spans="38:54" ht="15">
      <c r="AL136" s="6">
        <f t="shared" si="68"/>
        <v>55.03794655857707</v>
      </c>
      <c r="AM136" s="6">
        <f t="shared" si="54"/>
        <v>-2.1928778463762955</v>
      </c>
      <c r="AN136" s="6">
        <f t="shared" si="55"/>
        <v>35.16833723755045</v>
      </c>
      <c r="AO136" s="6">
        <f t="shared" si="56"/>
        <v>0.014217334092956002</v>
      </c>
      <c r="AP136" s="10">
        <f t="shared" si="57"/>
        <v>1.4217334092956002</v>
      </c>
      <c r="AQ136" s="6">
        <f t="shared" si="58"/>
        <v>21</v>
      </c>
      <c r="AR136" s="11"/>
      <c r="AS136" s="6">
        <f t="shared" si="59"/>
        <v>21</v>
      </c>
      <c r="AT136" s="6">
        <f t="shared" si="69"/>
      </c>
      <c r="AU136" s="6">
        <f t="shared" si="60"/>
      </c>
      <c r="AV136" s="6" t="e">
        <f t="shared" si="61"/>
        <v>#NUM!</v>
      </c>
      <c r="AW136" s="6" t="e">
        <f t="shared" si="62"/>
        <v>#NUM!</v>
      </c>
      <c r="AX136" s="6" t="e">
        <f t="shared" si="63"/>
        <v>#NUM!</v>
      </c>
      <c r="AY136" s="6" t="e">
        <f t="shared" si="64"/>
        <v>#NUM!</v>
      </c>
      <c r="AZ136" s="6" t="e">
        <f t="shared" si="65"/>
        <v>#NUM!</v>
      </c>
      <c r="BA136" s="6" t="e">
        <f t="shared" si="66"/>
        <v>#NUM!</v>
      </c>
      <c r="BB136" s="8">
        <f t="shared" si="67"/>
      </c>
    </row>
    <row r="137" spans="38:54" ht="15">
      <c r="AL137" s="6">
        <f t="shared" si="68"/>
        <v>55.81312890447252</v>
      </c>
      <c r="AM137" s="6">
        <f t="shared" si="54"/>
        <v>-2.264324955121941</v>
      </c>
      <c r="AN137" s="6">
        <f t="shared" si="55"/>
        <v>42.23802108381985</v>
      </c>
      <c r="AO137" s="6">
        <f t="shared" si="56"/>
        <v>0.011837675799435954</v>
      </c>
      <c r="AP137" s="10">
        <f t="shared" si="57"/>
        <v>1.1837675799435954</v>
      </c>
      <c r="AQ137" s="6">
        <f t="shared" si="58"/>
        <v>21</v>
      </c>
      <c r="AR137" s="11"/>
      <c r="AS137" s="6">
        <f t="shared" si="59"/>
        <v>21</v>
      </c>
      <c r="AT137" s="6">
        <f t="shared" si="69"/>
      </c>
      <c r="AU137" s="6">
        <f t="shared" si="60"/>
      </c>
      <c r="AV137" s="6" t="e">
        <f t="shared" si="61"/>
        <v>#NUM!</v>
      </c>
      <c r="AW137" s="6" t="e">
        <f t="shared" si="62"/>
        <v>#NUM!</v>
      </c>
      <c r="AX137" s="6" t="e">
        <f t="shared" si="63"/>
        <v>#NUM!</v>
      </c>
      <c r="AY137" s="6" t="e">
        <f t="shared" si="64"/>
        <v>#NUM!</v>
      </c>
      <c r="AZ137" s="6" t="e">
        <f t="shared" si="65"/>
        <v>#NUM!</v>
      </c>
      <c r="BA137" s="6" t="e">
        <f t="shared" si="66"/>
        <v>#NUM!</v>
      </c>
      <c r="BB137" s="8">
        <f t="shared" si="67"/>
      </c>
    </row>
    <row r="138" spans="38:54" ht="15">
      <c r="AL138" s="6">
        <f t="shared" si="68"/>
        <v>56.58831125036797</v>
      </c>
      <c r="AM138" s="6">
        <f t="shared" si="54"/>
        <v>-2.3357720638675863</v>
      </c>
      <c r="AN138" s="6">
        <f t="shared" si="55"/>
        <v>50.95404252900886</v>
      </c>
      <c r="AO138" s="6">
        <f t="shared" si="56"/>
        <v>0.009812764114159211</v>
      </c>
      <c r="AP138" s="10">
        <f t="shared" si="57"/>
        <v>0.9812764114159211</v>
      </c>
      <c r="AQ138" s="6">
        <f t="shared" si="58"/>
        <v>21</v>
      </c>
      <c r="AR138" s="11"/>
      <c r="AS138" s="6">
        <f t="shared" si="59"/>
        <v>21</v>
      </c>
      <c r="AT138" s="6">
        <f t="shared" si="69"/>
      </c>
      <c r="AU138" s="6">
        <f t="shared" si="60"/>
      </c>
      <c r="AV138" s="6" t="e">
        <f t="shared" si="61"/>
        <v>#NUM!</v>
      </c>
      <c r="AW138" s="6" t="e">
        <f t="shared" si="62"/>
        <v>#NUM!</v>
      </c>
      <c r="AX138" s="6" t="e">
        <f t="shared" si="63"/>
        <v>#NUM!</v>
      </c>
      <c r="AY138" s="6" t="e">
        <f t="shared" si="64"/>
        <v>#NUM!</v>
      </c>
      <c r="AZ138" s="6" t="e">
        <f t="shared" si="65"/>
        <v>#NUM!</v>
      </c>
      <c r="BA138" s="6" t="e">
        <f t="shared" si="66"/>
        <v>#NUM!</v>
      </c>
      <c r="BB138" s="8">
        <f t="shared" si="67"/>
      </c>
    </row>
    <row r="139" spans="38:54" ht="15">
      <c r="AL139" s="6">
        <f t="shared" si="68"/>
        <v>57.363493596263424</v>
      </c>
      <c r="AM139" s="6">
        <f t="shared" si="54"/>
        <v>-2.407219172613231</v>
      </c>
      <c r="AN139" s="6">
        <f t="shared" si="55"/>
        <v>61.74133073510645</v>
      </c>
      <c r="AO139" s="6">
        <f t="shared" si="56"/>
        <v>0.008098302936572432</v>
      </c>
      <c r="AP139" s="10">
        <f t="shared" si="57"/>
        <v>0.8098302936572432</v>
      </c>
      <c r="AQ139" s="6">
        <f t="shared" si="58"/>
        <v>21</v>
      </c>
      <c r="AR139" s="11"/>
      <c r="AS139" s="6">
        <f t="shared" si="59"/>
        <v>21</v>
      </c>
      <c r="AT139" s="6">
        <f t="shared" si="69"/>
      </c>
      <c r="AU139" s="6">
        <f t="shared" si="60"/>
      </c>
      <c r="AV139" s="6" t="e">
        <f t="shared" si="61"/>
        <v>#NUM!</v>
      </c>
      <c r="AW139" s="6" t="e">
        <f t="shared" si="62"/>
        <v>#NUM!</v>
      </c>
      <c r="AX139" s="6" t="e">
        <f t="shared" si="63"/>
        <v>#NUM!</v>
      </c>
      <c r="AY139" s="6" t="e">
        <f t="shared" si="64"/>
        <v>#NUM!</v>
      </c>
      <c r="AZ139" s="6" t="e">
        <f t="shared" si="65"/>
        <v>#NUM!</v>
      </c>
      <c r="BA139" s="6" t="e">
        <f t="shared" si="66"/>
        <v>#NUM!</v>
      </c>
      <c r="BB139" s="8">
        <f t="shared" si="67"/>
      </c>
    </row>
    <row r="140" spans="38:54" ht="15">
      <c r="AL140" s="6">
        <f t="shared" si="68"/>
        <v>58.138675942158876</v>
      </c>
      <c r="AM140" s="6">
        <f t="shared" si="54"/>
        <v>-2.4786662813588762</v>
      </c>
      <c r="AN140" s="6">
        <f t="shared" si="55"/>
        <v>75.14385822979406</v>
      </c>
      <c r="AO140" s="6">
        <f t="shared" si="56"/>
        <v>0.006653903749139101</v>
      </c>
      <c r="AP140" s="10">
        <f t="shared" si="57"/>
        <v>0.6653903749139101</v>
      </c>
      <c r="AQ140" s="6">
        <f t="shared" si="58"/>
        <v>21</v>
      </c>
      <c r="AR140" s="11"/>
      <c r="AS140" s="6">
        <f t="shared" si="59"/>
        <v>21</v>
      </c>
      <c r="AT140" s="6">
        <f t="shared" si="69"/>
      </c>
      <c r="AU140" s="6">
        <f t="shared" si="60"/>
      </c>
      <c r="AV140" s="6" t="e">
        <f t="shared" si="61"/>
        <v>#NUM!</v>
      </c>
      <c r="AW140" s="6" t="e">
        <f t="shared" si="62"/>
        <v>#NUM!</v>
      </c>
      <c r="AX140" s="6" t="e">
        <f t="shared" si="63"/>
        <v>#NUM!</v>
      </c>
      <c r="AY140" s="6" t="e">
        <f t="shared" si="64"/>
        <v>#NUM!</v>
      </c>
      <c r="AZ140" s="6" t="e">
        <f t="shared" si="65"/>
        <v>#NUM!</v>
      </c>
      <c r="BA140" s="6" t="e">
        <f t="shared" si="66"/>
        <v>#NUM!</v>
      </c>
      <c r="BB140" s="8">
        <f t="shared" si="67"/>
      </c>
    </row>
    <row r="141" spans="38:54" ht="15">
      <c r="AL141" s="6">
        <f t="shared" si="68"/>
        <v>58.91385828805433</v>
      </c>
      <c r="AM141" s="6">
        <f t="shared" si="54"/>
        <v>-2.5501133901045216</v>
      </c>
      <c r="AN141" s="6">
        <f t="shared" si="55"/>
        <v>91.86034455500184</v>
      </c>
      <c r="AO141" s="6">
        <f t="shared" si="56"/>
        <v>0.005443045118349477</v>
      </c>
      <c r="AP141" s="10">
        <f t="shared" si="57"/>
        <v>0.5443045118349477</v>
      </c>
      <c r="AQ141" s="6">
        <f t="shared" si="58"/>
        <v>21</v>
      </c>
      <c r="AR141" s="11"/>
      <c r="AS141" s="6">
        <f t="shared" si="59"/>
        <v>21</v>
      </c>
      <c r="AT141" s="6">
        <f t="shared" si="69"/>
      </c>
      <c r="AU141" s="6">
        <f t="shared" si="60"/>
      </c>
      <c r="AV141" s="6" t="e">
        <f t="shared" si="61"/>
        <v>#NUM!</v>
      </c>
      <c r="AW141" s="6" t="e">
        <f t="shared" si="62"/>
        <v>#NUM!</v>
      </c>
      <c r="AX141" s="6" t="e">
        <f t="shared" si="63"/>
        <v>#NUM!</v>
      </c>
      <c r="AY141" s="6" t="e">
        <f t="shared" si="64"/>
        <v>#NUM!</v>
      </c>
      <c r="AZ141" s="6" t="e">
        <f t="shared" si="65"/>
        <v>#NUM!</v>
      </c>
      <c r="BA141" s="6" t="e">
        <f t="shared" si="66"/>
        <v>#NUM!</v>
      </c>
      <c r="BB141" s="8">
        <f t="shared" si="67"/>
      </c>
    </row>
    <row r="142" spans="38:54" ht="15">
      <c r="AL142" s="6">
        <f t="shared" si="68"/>
        <v>59.68904063394978</v>
      </c>
      <c r="AM142" s="6">
        <f t="shared" si="54"/>
        <v>-2.621560498850167</v>
      </c>
      <c r="AN142" s="6">
        <f t="shared" si="55"/>
        <v>112.79131202673807</v>
      </c>
      <c r="AO142" s="6">
        <f t="shared" si="56"/>
        <v>0.004432965545089762</v>
      </c>
      <c r="AP142" s="10">
        <f t="shared" si="57"/>
        <v>0.4432965545089762</v>
      </c>
      <c r="AQ142" s="6">
        <f t="shared" si="58"/>
        <v>21</v>
      </c>
      <c r="AR142" s="11"/>
      <c r="AS142" s="6">
        <f t="shared" si="59"/>
        <v>21</v>
      </c>
      <c r="AT142" s="6">
        <f t="shared" si="69"/>
      </c>
      <c r="AU142" s="6">
        <f t="shared" si="60"/>
      </c>
      <c r="AV142" s="6" t="e">
        <f t="shared" si="61"/>
        <v>#NUM!</v>
      </c>
      <c r="AW142" s="6" t="e">
        <f t="shared" si="62"/>
        <v>#NUM!</v>
      </c>
      <c r="AX142" s="6" t="e">
        <f t="shared" si="63"/>
        <v>#NUM!</v>
      </c>
      <c r="AY142" s="6" t="e">
        <f t="shared" si="64"/>
        <v>#NUM!</v>
      </c>
      <c r="AZ142" s="6" t="e">
        <f t="shared" si="65"/>
        <v>#NUM!</v>
      </c>
      <c r="BA142" s="6" t="e">
        <f t="shared" si="66"/>
        <v>#NUM!</v>
      </c>
      <c r="BB142" s="8">
        <f t="shared" si="67"/>
      </c>
    </row>
    <row r="143" spans="38:45" ht="15">
      <c r="AL143" s="6">
        <f t="shared" si="68"/>
        <v>60.46422297984523</v>
      </c>
      <c r="AM143" s="6">
        <f t="shared" si="54"/>
        <v>-2.6930076075958116</v>
      </c>
      <c r="AN143" s="6">
        <f t="shared" si="55"/>
        <v>139.10129152255945</v>
      </c>
      <c r="AO143" s="6">
        <f t="shared" si="56"/>
        <v>0.0035945029303980913</v>
      </c>
      <c r="AP143" s="10">
        <f t="shared" si="57"/>
        <v>0.35945029303980913</v>
      </c>
      <c r="AQ143" s="6">
        <f t="shared" si="58"/>
        <v>21</v>
      </c>
      <c r="AR143" s="11"/>
      <c r="AS143" s="6">
        <f t="shared" si="59"/>
        <v>21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Header xml:space="preserve">&amp;L&amp;D&amp;C&amp;R Seed Analysis Macro Program 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Seed Lab., 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PREDICTION OF SEED STORAGE PERIOD</dc:title>
  <dc:subject/>
  <dc:creator>Warren H.J. KUO</dc:creator>
  <cp:keywords/>
  <dc:description/>
  <cp:lastModifiedBy>Warren H.J. KUO</cp:lastModifiedBy>
  <dcterms:created xsi:type="dcterms:W3CDTF">1997-11-14T03:16:39Z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